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156" yWindow="156" windowWidth="21600" windowHeight="12996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6" i="1" l="1"/>
  <c r="G6" i="1"/>
  <c r="E6" i="1"/>
  <c r="H8" i="1"/>
  <c r="G8" i="1"/>
  <c r="H11" i="1"/>
  <c r="G11" i="1"/>
  <c r="H13" i="1"/>
  <c r="G13" i="1"/>
  <c r="H15" i="1"/>
  <c r="G15" i="1"/>
  <c r="I15" i="1" s="1"/>
  <c r="H17" i="1"/>
  <c r="G17" i="1"/>
  <c r="H19" i="1"/>
  <c r="G19" i="1"/>
  <c r="I11" i="1" l="1"/>
  <c r="I8" i="1"/>
  <c r="I17" i="1"/>
  <c r="I13" i="1"/>
  <c r="I19" i="1"/>
  <c r="G21" i="1"/>
  <c r="H21" i="1"/>
  <c r="H23" i="1"/>
  <c r="G23" i="1"/>
  <c r="H25" i="1"/>
  <c r="G25" i="1"/>
  <c r="H29" i="1"/>
  <c r="G29" i="1"/>
  <c r="H27" i="1"/>
  <c r="G27" i="1"/>
  <c r="H31" i="1"/>
  <c r="G31" i="1"/>
  <c r="H33" i="1"/>
  <c r="G33" i="1"/>
  <c r="H35" i="1"/>
  <c r="G35" i="1"/>
  <c r="H37" i="1"/>
  <c r="G37" i="1"/>
  <c r="H39" i="1"/>
  <c r="G39" i="1"/>
  <c r="I23" i="1" l="1"/>
  <c r="I29" i="1"/>
  <c r="I21" i="1"/>
  <c r="I27" i="1"/>
  <c r="I25" i="1"/>
  <c r="I31" i="1"/>
  <c r="I33" i="1"/>
  <c r="I35" i="1"/>
  <c r="I37" i="1"/>
  <c r="I39" i="1"/>
  <c r="H41" i="1"/>
  <c r="G41" i="1"/>
  <c r="H43" i="1"/>
  <c r="G43" i="1"/>
  <c r="H45" i="1"/>
  <c r="G45" i="1"/>
  <c r="H47" i="1"/>
  <c r="G47" i="1"/>
  <c r="H49" i="1"/>
  <c r="G49" i="1"/>
  <c r="H53" i="1"/>
  <c r="G53" i="1"/>
  <c r="H51" i="1"/>
  <c r="G51" i="1"/>
  <c r="H55" i="1"/>
  <c r="G55" i="1"/>
  <c r="I47" i="1" l="1"/>
  <c r="I43" i="1"/>
  <c r="I51" i="1"/>
  <c r="I49" i="1"/>
  <c r="I45" i="1"/>
  <c r="I41" i="1"/>
  <c r="I53" i="1"/>
  <c r="I55" i="1"/>
  <c r="H57" i="1"/>
  <c r="G57" i="1"/>
  <c r="H59" i="1"/>
  <c r="G59" i="1"/>
  <c r="H65" i="1"/>
  <c r="G65" i="1"/>
  <c r="H63" i="1"/>
  <c r="G63" i="1"/>
  <c r="I65" i="1" l="1"/>
  <c r="I63" i="1"/>
  <c r="I57" i="1"/>
  <c r="I59" i="1"/>
  <c r="H67" i="1"/>
  <c r="G67" i="1"/>
  <c r="H69" i="1"/>
  <c r="G69" i="1"/>
  <c r="H71" i="1"/>
  <c r="G71" i="1"/>
  <c r="H73" i="1"/>
  <c r="G73" i="1"/>
  <c r="H76" i="1"/>
  <c r="G76" i="1"/>
  <c r="H78" i="1"/>
  <c r="G78" i="1"/>
  <c r="H80" i="1"/>
  <c r="G80" i="1"/>
  <c r="H82" i="1"/>
  <c r="G82" i="1"/>
  <c r="H84" i="1"/>
  <c r="G84" i="1"/>
  <c r="H90" i="1"/>
  <c r="G90" i="1"/>
  <c r="H86" i="1"/>
  <c r="G86" i="1"/>
  <c r="H88" i="1"/>
  <c r="G88" i="1"/>
  <c r="H126" i="1"/>
  <c r="H128" i="1"/>
  <c r="H99" i="1"/>
  <c r="H97" i="1"/>
  <c r="H92" i="1"/>
  <c r="H94" i="1"/>
  <c r="H101" i="1"/>
  <c r="H103" i="1"/>
  <c r="H105" i="1"/>
  <c r="H107" i="1"/>
  <c r="H109" i="1"/>
  <c r="H114" i="1"/>
  <c r="H116" i="1"/>
  <c r="H118" i="1"/>
  <c r="H120" i="1"/>
  <c r="H122" i="1"/>
  <c r="H124" i="1"/>
  <c r="G92" i="1"/>
  <c r="G94" i="1"/>
  <c r="G97" i="1"/>
  <c r="G99" i="1"/>
  <c r="G101" i="1"/>
  <c r="G103" i="1"/>
  <c r="G105" i="1"/>
  <c r="G107" i="1"/>
  <c r="G109" i="1"/>
  <c r="G114" i="1"/>
  <c r="G116" i="1"/>
  <c r="G118" i="1"/>
  <c r="G120" i="1"/>
  <c r="G122" i="1"/>
  <c r="G124" i="1"/>
  <c r="G126" i="1"/>
  <c r="I126" i="1" s="1"/>
  <c r="G128" i="1"/>
  <c r="I128" i="1" s="1"/>
  <c r="E116" i="1"/>
  <c r="E128" i="1"/>
  <c r="I69" i="1" l="1"/>
  <c r="I92" i="1"/>
  <c r="I118" i="1"/>
  <c r="I71" i="1"/>
  <c r="I67" i="1"/>
  <c r="I76" i="1"/>
  <c r="I90" i="1"/>
  <c r="I82" i="1"/>
  <c r="I73" i="1"/>
  <c r="I80" i="1"/>
  <c r="I78" i="1"/>
  <c r="I84" i="1"/>
  <c r="I86" i="1"/>
  <c r="I109" i="1"/>
  <c r="I124" i="1"/>
  <c r="I116" i="1"/>
  <c r="I94" i="1"/>
  <c r="I99" i="1"/>
  <c r="I97" i="1"/>
  <c r="I122" i="1"/>
  <c r="I114" i="1"/>
  <c r="I103" i="1"/>
  <c r="I88" i="1"/>
  <c r="I101" i="1"/>
  <c r="I107" i="1"/>
  <c r="I105" i="1"/>
  <c r="I120" i="1"/>
  <c r="I6" i="1" l="1"/>
</calcChain>
</file>

<file path=xl/sharedStrings.xml><?xml version="1.0" encoding="utf-8"?>
<sst xmlns="http://schemas.openxmlformats.org/spreadsheetml/2006/main" count="310" uniqueCount="172">
  <si>
    <t xml:space="preserve">70 km train RER 8 g CO2/km  </t>
  </si>
  <si>
    <t>Co-voiturage</t>
  </si>
  <si>
    <t>Ballade gourmande</t>
  </si>
  <si>
    <t>40 km en voiture  160 g CO2/km (7 passagers)</t>
  </si>
  <si>
    <t>Neuchâtel &lt;&gt; Le Locle</t>
  </si>
  <si>
    <t>52 km en voiture  95 g CO2/km</t>
  </si>
  <si>
    <t>77 km en voiture  95 g CO2/km</t>
  </si>
  <si>
    <t>40 km en voiture  95 g CO2/km</t>
  </si>
  <si>
    <r>
      <t xml:space="preserve">Neuchâtel &lt;&gt; </t>
    </r>
    <r>
      <rPr>
        <sz val="20"/>
        <color indexed="8"/>
        <rFont val="Calibri"/>
        <family val="2"/>
      </rPr>
      <t>Marin</t>
    </r>
    <phoneticPr fontId="5" type="noConversion"/>
  </si>
  <si>
    <t>Enregistrement interview</t>
    <phoneticPr fontId="5" type="noConversion"/>
  </si>
  <si>
    <t>Transports publics</t>
    <phoneticPr fontId="5" type="noConversion"/>
  </si>
  <si>
    <t xml:space="preserve">88 km train RER 8 g CO2/km  </t>
    <phoneticPr fontId="5" type="noConversion"/>
  </si>
  <si>
    <r>
      <t>13</t>
    </r>
    <r>
      <rPr>
        <sz val="14"/>
        <color theme="1"/>
        <rFont val="Calibri"/>
        <family val="2"/>
        <scheme val="minor"/>
      </rPr>
      <t xml:space="preserve"> km </t>
    </r>
    <r>
      <rPr>
        <sz val="14"/>
        <color indexed="8"/>
        <rFont val="Calibri"/>
        <family val="2"/>
      </rPr>
      <t>trolleybus 25</t>
    </r>
    <r>
      <rPr>
        <sz val="14"/>
        <color theme="1"/>
        <rFont val="Calibri"/>
        <family val="2"/>
        <scheme val="minor"/>
      </rPr>
      <t xml:space="preserve"> g CO2/km  </t>
    </r>
    <phoneticPr fontId="5" type="noConversion"/>
  </si>
  <si>
    <r>
      <t>Ev</t>
    </r>
    <r>
      <rPr>
        <b/>
        <sz val="20"/>
        <color indexed="8"/>
        <rFont val="Calibri"/>
        <family val="2"/>
      </rPr>
      <t>é</t>
    </r>
    <r>
      <rPr>
        <b/>
        <sz val="20"/>
        <color theme="1"/>
        <rFont val="Calibri"/>
        <family val="2"/>
        <scheme val="minor"/>
      </rPr>
      <t xml:space="preserve">nement </t>
    </r>
    <phoneticPr fontId="5" type="noConversion"/>
  </si>
  <si>
    <t>Allocution 1er août</t>
  </si>
  <si>
    <r>
      <t>Promos du Locle (2</t>
    </r>
    <r>
      <rPr>
        <sz val="20"/>
        <color indexed="8"/>
        <rFont val="Calibri"/>
        <family val="2"/>
      </rPr>
      <t>x</t>
    </r>
    <r>
      <rPr>
        <sz val="20"/>
        <color theme="1"/>
        <rFont val="Calibri"/>
        <family val="2"/>
        <scheme val="minor"/>
      </rPr>
      <t>)</t>
    </r>
    <phoneticPr fontId="5" type="noConversion"/>
  </si>
  <si>
    <r>
      <t>140</t>
    </r>
    <r>
      <rPr>
        <sz val="14"/>
        <color theme="1"/>
        <rFont val="Calibri"/>
        <family val="2"/>
        <scheme val="minor"/>
      </rPr>
      <t xml:space="preserve"> km en voiture  95 g CO2/km</t>
    </r>
    <phoneticPr fontId="5" type="noConversion"/>
  </si>
  <si>
    <t>Le Grand Raout</t>
  </si>
  <si>
    <r>
      <t xml:space="preserve">Neuchâtel &lt;&gt; </t>
    </r>
    <r>
      <rPr>
        <sz val="20"/>
        <color indexed="8"/>
        <rFont val="Calibri"/>
        <family val="2"/>
      </rPr>
      <t>Milvignes / Colombier</t>
    </r>
  </si>
  <si>
    <t>Présentation canditat-e-s</t>
  </si>
  <si>
    <t>Vernissage collection Etat - Fête de l'Abbaye - Fête de la jeunesse</t>
  </si>
  <si>
    <t>Transports publics + co-voiturage</t>
  </si>
  <si>
    <t>77 km en voiture 100 g CO2/km (3 passagers)</t>
  </si>
  <si>
    <t>13 km en voiture 100 g CO2/km (3 passagers)</t>
  </si>
  <si>
    <t>13 km en voiture  95 g CO2/km</t>
  </si>
  <si>
    <t>Stand PS</t>
  </si>
  <si>
    <t>Neuchâtel &gt; La Chaux-de-Fonds</t>
  </si>
  <si>
    <t xml:space="preserve">35 km train RER 8 g CO2/km  </t>
  </si>
  <si>
    <t>20 km en voiture  95 g CO2/km</t>
  </si>
  <si>
    <t>Rencontre nationale</t>
  </si>
  <si>
    <t xml:space="preserve">41 km train RER 8 g CO2/km  </t>
  </si>
  <si>
    <t xml:space="preserve">55 km train grande ligne 7 g CO2/km  </t>
  </si>
  <si>
    <t>47 km en voiture  95 g CO2/km</t>
  </si>
  <si>
    <t>53 km en voiture  95 g CO2/km</t>
  </si>
  <si>
    <r>
      <t xml:space="preserve">Neuchâtel &lt;&gt; </t>
    </r>
    <r>
      <rPr>
        <sz val="20"/>
        <color indexed="8"/>
        <rFont val="Calibri"/>
        <family val="2"/>
      </rPr>
      <t>Cernier</t>
    </r>
  </si>
  <si>
    <t>22 km en voiture 100 g CO2/km (3 passagers)</t>
  </si>
  <si>
    <t>22 km en voiture  95 g CO2/km</t>
  </si>
  <si>
    <t>Voiture privée</t>
  </si>
  <si>
    <t>Fête la Terre</t>
  </si>
  <si>
    <t>65 km en voiture  95 g CO2/km</t>
  </si>
  <si>
    <t>Débat CNCI</t>
  </si>
  <si>
    <t>24 km bus 25 g CO2/km</t>
    <phoneticPr fontId="5" type="noConversion"/>
  </si>
  <si>
    <r>
      <t>40</t>
    </r>
    <r>
      <rPr>
        <sz val="14"/>
        <color theme="1"/>
        <rFont val="Calibri"/>
        <family val="2"/>
        <scheme val="minor"/>
      </rPr>
      <t xml:space="preserve"> km train RER 8 g CO2/km  </t>
    </r>
    <phoneticPr fontId="5" type="noConversion"/>
  </si>
  <si>
    <r>
      <t xml:space="preserve">Neuchâtel &lt;&gt; </t>
    </r>
    <r>
      <rPr>
        <sz val="20"/>
        <color indexed="8"/>
        <rFont val="Calibri"/>
        <family val="2"/>
      </rPr>
      <t>Les Brenets</t>
    </r>
    <phoneticPr fontId="5" type="noConversion"/>
  </si>
  <si>
    <t>Somme</t>
    <phoneticPr fontId="5" type="noConversion"/>
  </si>
  <si>
    <t>Date</t>
  </si>
  <si>
    <t xml:space="preserve">Trajet </t>
  </si>
  <si>
    <t>Neuchâtel &lt;&gt; Ecublens</t>
  </si>
  <si>
    <t>Forum des 100</t>
  </si>
  <si>
    <t>Transports publics</t>
  </si>
  <si>
    <t>Emissions référence (kg CO2)</t>
  </si>
  <si>
    <t xml:space="preserve">64 km train grande ligne 7 g CO2/km  </t>
  </si>
  <si>
    <t xml:space="preserve">68 km train RER 8 g CO2/km  </t>
  </si>
  <si>
    <t>Emissions campagne (kg CO2)</t>
  </si>
  <si>
    <t>Directes</t>
  </si>
  <si>
    <t>Indirectes</t>
  </si>
  <si>
    <t>Directes + indirectes</t>
  </si>
  <si>
    <t>6 km en transport public 25 g CO2/km</t>
  </si>
  <si>
    <t>⁄</t>
  </si>
  <si>
    <t>Transports utilisés</t>
  </si>
  <si>
    <t>Neuchâtel &lt;&gt; Berne</t>
  </si>
  <si>
    <t>Comité directeur PSS</t>
  </si>
  <si>
    <t xml:space="preserve">100 km train RER 8 g CO2/km  </t>
  </si>
  <si>
    <t>100 km en voiture  95 g CO2/km</t>
  </si>
  <si>
    <t>1er juin</t>
  </si>
  <si>
    <t>Lancement campagne F*SS</t>
  </si>
  <si>
    <t>Grève des Femmes</t>
  </si>
  <si>
    <t>Neuchâtel &lt;&gt; La Chaux-de-Fonds</t>
  </si>
  <si>
    <t>Stand Initiative Primes</t>
  </si>
  <si>
    <r>
      <t xml:space="preserve">Neuchâtel &lt;&gt; </t>
    </r>
    <r>
      <rPr>
        <sz val="20"/>
        <color indexed="8"/>
        <rFont val="Calibri"/>
        <family val="2"/>
      </rPr>
      <t>Genève</t>
    </r>
  </si>
  <si>
    <t>Débat RTS</t>
  </si>
  <si>
    <t>Neuchâtel &lt;&gt; Fontainemelon</t>
  </si>
  <si>
    <t>CP Lancement campagne</t>
  </si>
  <si>
    <t>Horlofolie's</t>
  </si>
  <si>
    <t>Neuchâtel &lt;&gt; Corcelles</t>
  </si>
  <si>
    <t>Fête de Corcelles-Cormondrèche</t>
  </si>
  <si>
    <t xml:space="preserve">240 km train grande ligne 7 g CO2/km  </t>
  </si>
  <si>
    <t>246 km en voiture  95 g CO2/km</t>
  </si>
  <si>
    <r>
      <t>10</t>
    </r>
    <r>
      <rPr>
        <sz val="14"/>
        <color theme="1"/>
        <rFont val="Calibri"/>
        <family val="2"/>
        <scheme val="minor"/>
      </rPr>
      <t xml:space="preserve"> km </t>
    </r>
    <r>
      <rPr>
        <sz val="14"/>
        <color indexed="8"/>
        <rFont val="Calibri"/>
        <family val="2"/>
      </rPr>
      <t>trolleybus 25</t>
    </r>
    <r>
      <rPr>
        <sz val="14"/>
        <color theme="1"/>
        <rFont val="Calibri"/>
        <family val="2"/>
        <scheme val="minor"/>
      </rPr>
      <t xml:space="preserve"> g CO2/km  </t>
    </r>
  </si>
  <si>
    <t>10 km en voiture  95 g CO2/km</t>
  </si>
  <si>
    <r>
      <t xml:space="preserve">La Chaux-de-Fonds </t>
    </r>
    <r>
      <rPr>
        <sz val="20"/>
        <color indexed="8"/>
        <rFont val="Calibri"/>
        <family val="2"/>
      </rPr>
      <t>&gt;</t>
    </r>
    <r>
      <rPr>
        <sz val="20"/>
        <color theme="1"/>
        <rFont val="Calibri"/>
        <family val="2"/>
        <scheme val="minor"/>
      </rPr>
      <t xml:space="preserve"> Grenchen </t>
    </r>
    <r>
      <rPr>
        <sz val="20"/>
        <color indexed="8"/>
        <rFont val="Calibri"/>
        <family val="2"/>
      </rPr>
      <t>&gt;</t>
    </r>
    <r>
      <rPr>
        <sz val="20"/>
        <color theme="1"/>
        <rFont val="Calibri"/>
        <family val="2"/>
        <scheme val="minor"/>
      </rPr>
      <t xml:space="preserve"> Neuchâtel</t>
    </r>
  </si>
  <si>
    <t>La Chaux-de-Fonds &gt; La Chaux-du-Milieu &gt; Neuchâtel</t>
  </si>
  <si>
    <t>Vernissage exposition Alt.+1000</t>
  </si>
  <si>
    <t>41 km en voiture 100 g CO2/km (3 passagers)</t>
  </si>
  <si>
    <t>41 km en voiture  95 g CO2/km</t>
  </si>
  <si>
    <t>Neuchâtel</t>
  </si>
  <si>
    <t>Vélo électrique</t>
  </si>
  <si>
    <t>3 km en voiture  95 g CO2/km</t>
  </si>
  <si>
    <t xml:space="preserve">3 km vélo électrique 0.3 g CO2/km  </t>
  </si>
  <si>
    <t>Neuchâtel &lt;&gt; Tavannes</t>
  </si>
  <si>
    <t>97 km en voiture 90 g CO2/km (3 passagers)</t>
  </si>
  <si>
    <t>97 km en voiture  95 g CO2/km</t>
  </si>
  <si>
    <t>Neuchâtel &lt;&gt; Cornaux</t>
  </si>
  <si>
    <t>Congrès PSN</t>
  </si>
  <si>
    <t>17 km en voiture  95 g CO2/km</t>
  </si>
  <si>
    <t>Neuchâtel &gt; Fleurier</t>
  </si>
  <si>
    <t xml:space="preserve">29 km train RER 8 g CO2/km  </t>
  </si>
  <si>
    <t>31 km en voiture  95 g CO2/km</t>
  </si>
  <si>
    <t>Fleurier &gt; Le Landeron &gt; Neuchâtel</t>
  </si>
  <si>
    <t>60 km en voiture 100 g CO2/km (3 passagers)</t>
  </si>
  <si>
    <t>60 km en voiture  95 g CO2/km</t>
  </si>
  <si>
    <t>Neuchâtel &lt;&gt; Boudry</t>
  </si>
  <si>
    <t>Boudrysia</t>
  </si>
  <si>
    <t>19 km en voiture  95 g CO2/km</t>
  </si>
  <si>
    <t xml:space="preserve">18 km train RER 8 g CO2/km  </t>
  </si>
  <si>
    <t xml:space="preserve">8.5 km train RER 8 g CO2/km  </t>
  </si>
  <si>
    <t>8.5 km en voiture  160 g CO2/km (7 passagers)</t>
  </si>
  <si>
    <t>Neuchâtel &lt;&gt; Cortaillod</t>
  </si>
  <si>
    <t>Portrait Canal Alpha</t>
  </si>
  <si>
    <t>Transports publics et co-voiturage</t>
  </si>
  <si>
    <t>Voiture Mobility</t>
  </si>
  <si>
    <t>19 km en voiture 95 g CO2/km</t>
  </si>
  <si>
    <t>Palais fédéral : suivi débat congé paternité</t>
  </si>
  <si>
    <t>Stands PS</t>
  </si>
  <si>
    <t>Neuchâtel &gt; Fontainemelon &gt; Cortaillod &gt; Neuchâtel</t>
  </si>
  <si>
    <t>11 km bus 25 g CO2/km</t>
  </si>
  <si>
    <t>18.5 km en voiture 100 g CO2/km (3 passagers)</t>
  </si>
  <si>
    <t>47.5 km en voiture  95 g CO2/km</t>
  </si>
  <si>
    <t>Neuchâtel &lt;&gt; Valangin</t>
  </si>
  <si>
    <t>10.6 km bus 25 g CO2/km</t>
  </si>
  <si>
    <t>10.6 km en voiture  95 g CO2/km</t>
  </si>
  <si>
    <t>Torrée des Journées du patrimoine</t>
  </si>
  <si>
    <t>Interview Arcinfo</t>
  </si>
  <si>
    <t xml:space="preserve">2 km vélo électrique 0.3 g CO2/km  </t>
  </si>
  <si>
    <t>2 km en voiture  95 g CO2/km</t>
  </si>
  <si>
    <t>Débat des jeunes des partis</t>
  </si>
  <si>
    <t>La Chaux-de-Fonds &gt; Peseux</t>
  </si>
  <si>
    <t>19 km en voiture 100 g CO2/km (3 passagers)</t>
  </si>
  <si>
    <t>Peseux &gt; Marin</t>
  </si>
  <si>
    <t>Accueil nouveaux citoyens</t>
  </si>
  <si>
    <t>11 km en voiture 100 g CO2/km (3 passagers)</t>
  </si>
  <si>
    <t>11 km en voiture  95 g CO2/km</t>
  </si>
  <si>
    <t>Marin &gt; Neuchâtel</t>
  </si>
  <si>
    <t>6.5 km en voiture 100 g CO2/km (3 passagers)</t>
  </si>
  <si>
    <t>6.5 km en voiture  95 g CO2/km</t>
  </si>
  <si>
    <t>Neuchâtel &lt;&gt; Lignières</t>
  </si>
  <si>
    <t>Désalpe</t>
  </si>
  <si>
    <t>31.5 km en voiture 100 g CO2/km (3 passagers)</t>
  </si>
  <si>
    <t>31.5 km en voiture  95 g CO2/km</t>
  </si>
  <si>
    <t>Conférence "Agir pour le climat"</t>
  </si>
  <si>
    <t>Débat Canal Alpha</t>
  </si>
  <si>
    <t>Neuchâtel &gt; Cortaillod</t>
  </si>
  <si>
    <t>9.5 km en voiture 95 g CO2/km</t>
  </si>
  <si>
    <t>9.5 km en voiture  95 g CO2/km</t>
  </si>
  <si>
    <t>Cortaillod &gt; Berne &gt; Neuchâtel</t>
  </si>
  <si>
    <t>Manifestion pour le climat</t>
  </si>
  <si>
    <t>103 km en voiture  95 g CO2/km</t>
  </si>
  <si>
    <t xml:space="preserve">95 km train RER 8 g CO2/km  </t>
  </si>
  <si>
    <t>Porte à porte</t>
  </si>
  <si>
    <t>Assemblée de section "Lobbies"</t>
  </si>
  <si>
    <t>Distribution de croissants</t>
  </si>
  <si>
    <t xml:space="preserve">50 km train RER 8 g CO2/km  </t>
  </si>
  <si>
    <t>Neuchâtel &lt;&gt; Couvet</t>
  </si>
  <si>
    <t>Projection "The Price of Gas"</t>
  </si>
  <si>
    <t>Neuchâtel &gt; Fleurier &gt; Peseux &gt; Hauterive &gt; Neuchâtel</t>
  </si>
  <si>
    <t>72.5 km en voiture  95 g CO2/km</t>
  </si>
  <si>
    <t>72.5 km en voiture 100 g CO2/km (2 passagers)</t>
  </si>
  <si>
    <t>19 km en voiture 100 g CO2/km (2 passagers)</t>
  </si>
  <si>
    <t>Apéritif section PS Boudry</t>
  </si>
  <si>
    <r>
      <t xml:space="preserve">Somme (14 </t>
    </r>
    <r>
      <rPr>
        <b/>
        <sz val="20"/>
        <color indexed="8"/>
        <rFont val="Calibri"/>
        <family val="2"/>
      </rPr>
      <t>octobre</t>
    </r>
    <r>
      <rPr>
        <b/>
        <sz val="20"/>
        <color theme="1"/>
        <rFont val="Calibri"/>
        <family val="2"/>
        <scheme val="minor"/>
      </rPr>
      <t xml:space="preserve"> 2019)</t>
    </r>
  </si>
  <si>
    <t>Neuchâtel &lt;&gt; St-Blaise</t>
  </si>
  <si>
    <t xml:space="preserve">10 km train RER 8 g CO2/km  </t>
  </si>
  <si>
    <t>Afterwork Musée des Beaux-Arts</t>
  </si>
  <si>
    <t>Apéritif JSN</t>
  </si>
  <si>
    <r>
      <rPr>
        <sz val="14"/>
        <color theme="1"/>
        <rFont val="Calibri"/>
        <family val="2"/>
        <scheme val="minor"/>
      </rPr>
      <t xml:space="preserve">3 km </t>
    </r>
    <r>
      <rPr>
        <sz val="14"/>
        <color indexed="8"/>
        <rFont val="Calibri"/>
        <family val="2"/>
      </rPr>
      <t>trolleybus 25</t>
    </r>
    <r>
      <rPr>
        <sz val="14"/>
        <color theme="1"/>
        <rFont val="Calibri"/>
        <family val="2"/>
        <scheme val="minor"/>
      </rPr>
      <t xml:space="preserve"> g CO2/km  </t>
    </r>
  </si>
  <si>
    <t>Neuchâtel &gt; Le Locle</t>
  </si>
  <si>
    <t>26 km en voiture 100 g CO2/km (2 passagers)</t>
  </si>
  <si>
    <t>26 km en voiture  95 g CO2/km</t>
  </si>
  <si>
    <t>Le Locle &gt; La Chaux-de-Fonds (&gt; Neuchâtel)</t>
  </si>
  <si>
    <t>6 km en voiture 100 g CO2/km (2 passagers)</t>
  </si>
  <si>
    <t>Débat ADF</t>
  </si>
  <si>
    <t>Neuchâtel &gt; La Chaux-du-Milieu &gt; Fleurier &gt; Peseux &gt; Neuchâtel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</si>
</sst>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0C]d\ mmm\ yy;@"/>
    <numFmt numFmtId="165" formatCode="0.0"/>
  </numFmts>
  <fonts count="12" x14ac:knownFonts="1">
    <font>
      <sz val="12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Verdana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4"/>
      <name val="Calibri"/>
    </font>
    <font>
      <sz val="14"/>
      <name val="Calibri"/>
    </font>
    <font>
      <sz val="12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0" fillId="0" borderId="0" xfId="0" applyBorder="1"/>
    <xf numFmtId="0" fontId="0" fillId="0" borderId="19" xfId="0" applyBorder="1"/>
    <xf numFmtId="164" fontId="2" fillId="0" borderId="14" xfId="0" applyNumberFormat="1" applyFont="1" applyFill="1" applyBorder="1"/>
    <xf numFmtId="0" fontId="2" fillId="0" borderId="15" xfId="0" applyFont="1" applyFill="1" applyBorder="1"/>
    <xf numFmtId="164" fontId="2" fillId="0" borderId="3" xfId="0" applyNumberFormat="1" applyFont="1" applyFill="1" applyBorder="1"/>
    <xf numFmtId="0" fontId="2" fillId="0" borderId="4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2" fillId="0" borderId="16" xfId="0" applyFont="1" applyFill="1" applyBorder="1"/>
    <xf numFmtId="165" fontId="2" fillId="0" borderId="6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5" fontId="2" fillId="5" borderId="13" xfId="0" applyNumberFormat="1" applyFont="1" applyFill="1" applyBorder="1" applyAlignment="1">
      <alignment horizontal="center"/>
    </xf>
    <xf numFmtId="165" fontId="2" fillId="3" borderId="20" xfId="0" applyNumberFormat="1" applyFont="1" applyFill="1" applyBorder="1" applyAlignment="1">
      <alignment horizontal="center"/>
    </xf>
    <xf numFmtId="165" fontId="2" fillId="0" borderId="27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vertical="center" wrapText="1"/>
    </xf>
    <xf numFmtId="164" fontId="3" fillId="2" borderId="23" xfId="0" applyNumberFormat="1" applyFont="1" applyFill="1" applyBorder="1" applyAlignment="1">
      <alignment horizontal="left" vertical="center"/>
    </xf>
    <xf numFmtId="0" fontId="3" fillId="2" borderId="24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165" fontId="3" fillId="5" borderId="17" xfId="0" applyNumberFormat="1" applyFont="1" applyFill="1" applyBorder="1" applyAlignment="1">
      <alignment horizontal="center" vertical="center"/>
    </xf>
    <xf numFmtId="165" fontId="3" fillId="5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3" fillId="6" borderId="2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65" fontId="2" fillId="0" borderId="10" xfId="0" applyNumberFormat="1" applyFont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65" fontId="3" fillId="5" borderId="15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left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left" vertical="center"/>
    </xf>
    <xf numFmtId="0" fontId="3" fillId="2" borderId="22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6" borderId="2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165" fontId="3" fillId="6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2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0" xfId="0" applyFont="1"/>
    <xf numFmtId="0" fontId="3" fillId="2" borderId="18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 vertical="center"/>
    </xf>
    <xf numFmtId="165" fontId="6" fillId="4" borderId="8" xfId="0" applyNumberFormat="1" applyFont="1" applyFill="1" applyBorder="1" applyAlignment="1">
      <alignment horizontal="center" vertical="center"/>
    </xf>
    <xf numFmtId="165" fontId="3" fillId="4" borderId="6" xfId="0" applyNumberFormat="1" applyFont="1" applyFill="1" applyBorder="1" applyAlignment="1">
      <alignment horizontal="center" vertical="center"/>
    </xf>
    <xf numFmtId="165" fontId="3" fillId="4" borderId="8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65" fontId="3" fillId="4" borderId="21" xfId="0" applyNumberFormat="1" applyFont="1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/>
    </xf>
    <xf numFmtId="164" fontId="2" fillId="7" borderId="6" xfId="0" applyNumberFormat="1" applyFont="1" applyFill="1" applyBorder="1" applyAlignment="1">
      <alignment horizontal="right"/>
    </xf>
    <xf numFmtId="164" fontId="2" fillId="7" borderId="7" xfId="0" applyNumberFormat="1" applyFont="1" applyFill="1" applyBorder="1" applyAlignment="1">
      <alignment horizontal="right"/>
    </xf>
    <xf numFmtId="164" fontId="2" fillId="7" borderId="8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fr-CH" sz="2000" b="1" i="0" u="none" strike="noStrike" kern="1200" cap="all" spc="120" normalizeH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fr-FR" sz="2000" baseline="0">
                <a:solidFill>
                  <a:srgbClr val="FF0000"/>
                </a:solidFill>
              </a:rPr>
              <a:t>Mon aventure CO2</a:t>
            </a:r>
          </a:p>
        </c:rich>
      </c:tx>
      <c:layout>
        <c:manualLayout>
          <c:xMode val="edge"/>
          <c:yMode val="edge"/>
          <c:x val="0.69387072795399896"/>
          <c:y val="6.6760012900769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"/>
          <c:y val="0.12852822212307299"/>
          <c:w val="1"/>
          <c:h val="0.8714718630354689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Feuil1!$E$4</c:f>
              <c:strCache>
                <c:ptCount val="1"/>
                <c:pt idx="0">
                  <c:v>Emissions campagne (kg CO2)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fr-CH" sz="2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Feuil1!$E$6</c:f>
              <c:numCache>
                <c:formatCode>0.0</c:formatCode>
                <c:ptCount val="1"/>
                <c:pt idx="0">
                  <c:v>80.190566666666669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100-AF4E-960F-7F033E39E60D}"/>
            </c:ext>
          </c:extLst>
        </c:ser>
        <c:ser>
          <c:idx val="0"/>
          <c:order val="1"/>
          <c:tx>
            <c:strRef>
              <c:f>Feuil1!$G$4</c:f>
              <c:strCache>
                <c:ptCount val="1"/>
                <c:pt idx="0">
                  <c:v>Emissions référence (kg CO2)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fr-CH" sz="2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Feuil1!$I$6</c:f>
              <c:numCache>
                <c:formatCode>0.0</c:formatCode>
                <c:ptCount val="1"/>
                <c:pt idx="0">
                  <c:v>429.68150000000014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00-AF4E-960F-7F033E39E60D}"/>
            </c:ext>
          </c:extLst>
        </c:ser>
        <c:ser>
          <c:idx val="2"/>
          <c:order val="2"/>
          <c:tx>
            <c:v>- Directes</c:v>
          </c:tx>
          <c:spPr>
            <a:pattFill prst="wd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fr-CH"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Feuil1!$G$6</c:f>
              <c:numCache>
                <c:formatCode>0.0</c:formatCode>
                <c:ptCount val="1"/>
                <c:pt idx="0">
                  <c:v>247.67450000000011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100-AF4E-960F-7F033E39E60D}"/>
            </c:ext>
          </c:extLst>
        </c:ser>
        <c:ser>
          <c:idx val="1"/>
          <c:order val="3"/>
          <c:tx>
            <c:v>- Indirectes</c:v>
          </c:tx>
          <c:spPr>
            <a:pattFill prst="ltHorz">
              <a:fgClr>
                <a:schemeClr val="bg1">
                  <a:lumMod val="8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-540000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fr-CH" sz="2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fr-CH" sz="2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Feuil1!$H$6</c:f>
              <c:numCache>
                <c:formatCode>0.0</c:formatCode>
                <c:ptCount val="1"/>
                <c:pt idx="0">
                  <c:v>182.00700000000006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00-AF4E-960F-7F033E39E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53611136"/>
        <c:axId val="53617024"/>
      </c:barChart>
      <c:catAx>
        <c:axId val="5361113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3617024"/>
        <c:crosses val="autoZero"/>
        <c:auto val="1"/>
        <c:lblAlgn val="ctr"/>
        <c:lblOffset val="100"/>
        <c:noMultiLvlLbl val="0"/>
      </c:catAx>
      <c:valAx>
        <c:axId val="5361702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53611136"/>
        <c:crosses val="autoZero"/>
        <c:crossBetween val="between"/>
      </c:valAx>
      <c:spPr>
        <a:noFill/>
        <a:ln w="25400">
          <a:noFill/>
        </a:ln>
        <a:effectLst>
          <a:outerShdw dist="50800" dir="5400000" algn="ctr" rotWithShape="0">
            <a:schemeClr val="bg1"/>
          </a:outerShdw>
        </a:effectLst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bg1"/>
                </a:solidFill>
                <a:latin typeface="+mj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1.8606992740286599E-2"/>
          <c:y val="5.0787235677380901E-2"/>
          <c:w val="0.32891447222368297"/>
          <c:h val="0.468887008478323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fr-CH" sz="18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38099</xdr:rowOff>
    </xdr:from>
    <xdr:to>
      <xdr:col>9</xdr:col>
      <xdr:colOff>38100</xdr:colOff>
      <xdr:row>2</xdr:row>
      <xdr:rowOff>607452</xdr:rowOff>
    </xdr:to>
    <xdr:pic>
      <xdr:nvPicPr>
        <xdr:cNvPr id="7" name="Image 6">
          <a:extLst>
            <a:ext uri="{FF2B5EF4-FFF2-40B4-BE49-F238E27FC236}">
              <a16:creationId xmlns="" xmlns:a16="http://schemas.microsoft.com/office/drawing/2014/main" id="{A9AD5ADD-0D81-0C43-BD61-CFDFB830B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099"/>
          <a:ext cx="18923000" cy="1915553"/>
        </a:xfrm>
        <a:prstGeom prst="rect">
          <a:avLst/>
        </a:prstGeom>
        <a:solidFill>
          <a:schemeClr val="tx1"/>
        </a:solidFill>
      </xdr:spPr>
    </xdr:pic>
    <xdr:clientData/>
  </xdr:twoCellAnchor>
  <xdr:twoCellAnchor>
    <xdr:from>
      <xdr:col>1</xdr:col>
      <xdr:colOff>3458634</xdr:colOff>
      <xdr:row>133</xdr:row>
      <xdr:rowOff>55032</xdr:rowOff>
    </xdr:from>
    <xdr:to>
      <xdr:col>6</xdr:col>
      <xdr:colOff>0</xdr:colOff>
      <xdr:row>163</xdr:row>
      <xdr:rowOff>88899</xdr:rowOff>
    </xdr:to>
    <xdr:graphicFrame macro="">
      <xdr:nvGraphicFramePr>
        <xdr:cNvPr id="4" name="Graphique 3">
          <a:extLst>
            <a:ext uri="{FF2B5EF4-FFF2-40B4-BE49-F238E27FC236}">
              <a16:creationId xmlns="" xmlns:a16="http://schemas.microsoft.com/office/drawing/2014/main" id="{B367E105-D147-9547-9FFC-B1EF3BA68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tabSelected="1" zoomScale="50" zoomScaleNormal="60" zoomScalePageLayoutView="60" workbookViewId="0">
      <selection activeCell="M8" sqref="M8"/>
    </sheetView>
  </sheetViews>
  <sheetFormatPr baseColWidth="10" defaultRowHeight="15.6" x14ac:dyDescent="0.3"/>
  <cols>
    <col min="1" max="1" width="17.796875" style="1" customWidth="1"/>
    <col min="2" max="2" width="52.296875" customWidth="1"/>
    <col min="3" max="3" width="42.296875" customWidth="1"/>
    <col min="4" max="4" width="31.19921875" customWidth="1"/>
    <col min="5" max="5" width="43.796875" bestFit="1" customWidth="1"/>
    <col min="6" max="6" width="4" customWidth="1"/>
    <col min="7" max="7" width="21" customWidth="1"/>
    <col min="8" max="8" width="21.19921875" customWidth="1"/>
    <col min="9" max="9" width="14.19921875" customWidth="1"/>
    <col min="11" max="11" width="17.59765625" customWidth="1"/>
    <col min="12" max="12" width="44.5" customWidth="1"/>
    <col min="13" max="13" width="32.69921875" bestFit="1" customWidth="1"/>
  </cols>
  <sheetData>
    <row r="1" spans="1:15" ht="43.05" customHeight="1" x14ac:dyDescent="0.3"/>
    <row r="2" spans="1:15" ht="63" customHeight="1" x14ac:dyDescent="0.7">
      <c r="A2" s="2"/>
    </row>
    <row r="3" spans="1:15" ht="52.2" customHeight="1" thickBot="1" x14ac:dyDescent="0.75">
      <c r="A3" s="85"/>
      <c r="B3" s="85"/>
      <c r="C3" s="85"/>
      <c r="D3" s="85"/>
      <c r="E3" s="85"/>
      <c r="F3" s="85"/>
      <c r="G3" s="85"/>
      <c r="H3" s="85"/>
      <c r="I3" s="4"/>
    </row>
    <row r="4" spans="1:15" ht="30.45" customHeight="1" thickBot="1" x14ac:dyDescent="0.55000000000000004">
      <c r="A4" s="9"/>
      <c r="B4" s="10"/>
      <c r="C4" s="10"/>
      <c r="D4" s="10"/>
      <c r="E4" s="89" t="s">
        <v>53</v>
      </c>
      <c r="F4" s="90"/>
      <c r="G4" s="95" t="s">
        <v>50</v>
      </c>
      <c r="H4" s="96"/>
      <c r="I4" s="90"/>
    </row>
    <row r="5" spans="1:15" ht="26.4" thickBot="1" x14ac:dyDescent="0.55000000000000004">
      <c r="A5" s="7"/>
      <c r="B5" s="8"/>
      <c r="C5" s="8"/>
      <c r="D5" s="8"/>
      <c r="E5" s="93" t="s">
        <v>56</v>
      </c>
      <c r="F5" s="94"/>
      <c r="G5" s="97" t="s">
        <v>54</v>
      </c>
      <c r="H5" s="77" t="s">
        <v>55</v>
      </c>
      <c r="I5" s="76" t="s">
        <v>44</v>
      </c>
    </row>
    <row r="6" spans="1:15" ht="26.4" thickBot="1" x14ac:dyDescent="0.55000000000000004">
      <c r="A6" s="86" t="s">
        <v>159</v>
      </c>
      <c r="B6" s="87"/>
      <c r="C6" s="87"/>
      <c r="D6" s="88"/>
      <c r="E6" s="91">
        <f>SUM(E8:E310)</f>
        <v>80.190566666666669</v>
      </c>
      <c r="F6" s="92"/>
      <c r="G6" s="14">
        <f>SUM(G8:G312)</f>
        <v>247.67450000000011</v>
      </c>
      <c r="H6" s="14">
        <f>SUM(H8:H312)</f>
        <v>182.00700000000006</v>
      </c>
      <c r="I6" s="15">
        <f>G6+H6</f>
        <v>429.68150000000014</v>
      </c>
    </row>
    <row r="7" spans="1:15" ht="41.4" customHeight="1" thickBot="1" x14ac:dyDescent="0.55000000000000004">
      <c r="A7" s="5" t="s">
        <v>45</v>
      </c>
      <c r="B7" s="6" t="s">
        <v>46</v>
      </c>
      <c r="C7" s="6" t="s">
        <v>13</v>
      </c>
      <c r="D7" s="11" t="s">
        <v>59</v>
      </c>
      <c r="E7" s="12"/>
      <c r="F7" s="13"/>
      <c r="G7" s="13"/>
      <c r="H7" s="13"/>
      <c r="I7" s="16"/>
    </row>
    <row r="8" spans="1:15" s="23" customFormat="1" ht="52.2" thickBot="1" x14ac:dyDescent="0.35">
      <c r="A8" s="33">
        <v>43750</v>
      </c>
      <c r="B8" s="70" t="s">
        <v>168</v>
      </c>
      <c r="C8" s="74" t="s">
        <v>170</v>
      </c>
      <c r="D8" s="20" t="s">
        <v>21</v>
      </c>
      <c r="E8" s="81">
        <v>0.88</v>
      </c>
      <c r="F8" s="82"/>
      <c r="G8" s="38">
        <f>(26*95)/1000</f>
        <v>2.4700000000000002</v>
      </c>
      <c r="H8" s="39">
        <f>(26*70)/1000</f>
        <v>1.82</v>
      </c>
      <c r="I8" s="29">
        <f>SUM(G8+H8)</f>
        <v>4.29</v>
      </c>
      <c r="K8" s="1"/>
      <c r="L8"/>
      <c r="M8"/>
      <c r="N8"/>
      <c r="O8"/>
    </row>
    <row r="9" spans="1:15" s="23" customFormat="1" ht="27.45" customHeight="1" x14ac:dyDescent="0.3">
      <c r="A9" s="24" t="s">
        <v>169</v>
      </c>
      <c r="B9" s="25"/>
      <c r="C9" s="98"/>
      <c r="D9" s="25"/>
      <c r="E9" s="26"/>
      <c r="F9" s="26"/>
      <c r="G9" s="43" t="s">
        <v>167</v>
      </c>
      <c r="H9" s="32"/>
      <c r="I9" s="28"/>
      <c r="O9"/>
    </row>
    <row r="10" spans="1:15" s="23" customFormat="1" ht="27.45" customHeight="1" thickBot="1" x14ac:dyDescent="0.35">
      <c r="A10" s="37" t="s">
        <v>27</v>
      </c>
      <c r="B10" s="41"/>
      <c r="C10" s="99"/>
      <c r="D10" s="41"/>
      <c r="E10" s="42"/>
      <c r="F10" s="42"/>
      <c r="G10" s="43"/>
      <c r="H10" s="32"/>
      <c r="I10" s="28"/>
      <c r="O10"/>
    </row>
    <row r="11" spans="1:15" s="23" customFormat="1" ht="26.4" thickBot="1" x14ac:dyDescent="0.35">
      <c r="A11" s="33">
        <v>43750</v>
      </c>
      <c r="B11" s="19" t="s">
        <v>165</v>
      </c>
      <c r="C11" s="74" t="s">
        <v>25</v>
      </c>
      <c r="D11" s="20" t="s">
        <v>1</v>
      </c>
      <c r="E11" s="81">
        <v>2.6</v>
      </c>
      <c r="F11" s="82"/>
      <c r="G11" s="38">
        <f>(26*95)/1000</f>
        <v>2.4700000000000002</v>
      </c>
      <c r="H11" s="39">
        <f>(26*70)/1000</f>
        <v>1.82</v>
      </c>
      <c r="I11" s="29">
        <f>SUM(G11+H11)</f>
        <v>4.29</v>
      </c>
      <c r="O11"/>
    </row>
    <row r="12" spans="1:15" s="23" customFormat="1" ht="26.4" thickBot="1" x14ac:dyDescent="0.35">
      <c r="A12" s="24" t="s">
        <v>166</v>
      </c>
      <c r="B12" s="25"/>
      <c r="C12" s="98"/>
      <c r="D12" s="25"/>
      <c r="E12" s="26"/>
      <c r="F12" s="26"/>
      <c r="G12" s="43" t="s">
        <v>167</v>
      </c>
      <c r="H12" s="32"/>
      <c r="I12" s="28"/>
      <c r="O12"/>
    </row>
    <row r="13" spans="1:15" s="23" customFormat="1" ht="27.45" customHeight="1" thickBot="1" x14ac:dyDescent="0.35">
      <c r="A13" s="33">
        <v>43749</v>
      </c>
      <c r="B13" s="34" t="s">
        <v>85</v>
      </c>
      <c r="C13" s="17" t="s">
        <v>163</v>
      </c>
      <c r="D13" s="73" t="s">
        <v>49</v>
      </c>
      <c r="E13" s="81">
        <v>7.4999999999999997E-2</v>
      </c>
      <c r="F13" s="82"/>
      <c r="G13" s="21">
        <f>(3*95)/1000</f>
        <v>0.28499999999999998</v>
      </c>
      <c r="H13" s="39">
        <f>(3*70)/1000</f>
        <v>0.21</v>
      </c>
      <c r="I13" s="29">
        <f>SUM(G13+H13)</f>
        <v>0.495</v>
      </c>
      <c r="O13"/>
    </row>
    <row r="14" spans="1:15" s="23" customFormat="1" ht="26.4" thickBot="1" x14ac:dyDescent="0.35">
      <c r="A14" s="30" t="s">
        <v>164</v>
      </c>
      <c r="B14" s="25"/>
      <c r="C14" s="98"/>
      <c r="D14" s="25"/>
      <c r="E14" s="78"/>
      <c r="F14" s="26"/>
      <c r="G14" s="31" t="s">
        <v>87</v>
      </c>
      <c r="H14" s="27"/>
      <c r="I14" s="28"/>
      <c r="O14"/>
    </row>
    <row r="15" spans="1:15" s="23" customFormat="1" ht="52.2" thickBot="1" x14ac:dyDescent="0.35">
      <c r="A15" s="33">
        <v>43748</v>
      </c>
      <c r="B15" s="19" t="s">
        <v>4</v>
      </c>
      <c r="C15" s="74" t="s">
        <v>162</v>
      </c>
      <c r="D15" s="20" t="s">
        <v>10</v>
      </c>
      <c r="E15" s="81">
        <v>0.70399999999999996</v>
      </c>
      <c r="F15" s="82"/>
      <c r="G15" s="38">
        <f>(52*95)/1000</f>
        <v>4.9400000000000004</v>
      </c>
      <c r="H15" s="39">
        <f>(52*70)/1000</f>
        <v>3.64</v>
      </c>
      <c r="I15" s="29">
        <f>SUM(G15+H15)</f>
        <v>8.58</v>
      </c>
      <c r="K15" s="1"/>
      <c r="L15"/>
      <c r="M15"/>
      <c r="N15"/>
      <c r="O15"/>
    </row>
    <row r="16" spans="1:15" s="23" customFormat="1" ht="27.45" customHeight="1" thickBot="1" x14ac:dyDescent="0.35">
      <c r="A16" s="44" t="s">
        <v>11</v>
      </c>
      <c r="B16" s="25"/>
      <c r="C16" s="98"/>
      <c r="D16" s="25"/>
      <c r="E16" s="26"/>
      <c r="F16" s="26"/>
      <c r="G16" s="43" t="s">
        <v>5</v>
      </c>
      <c r="H16" s="32"/>
      <c r="I16" s="28"/>
      <c r="K16" s="1"/>
      <c r="L16"/>
      <c r="M16" s="72"/>
      <c r="N16"/>
    </row>
    <row r="17" spans="1:14" s="23" customFormat="1" ht="26.4" thickBot="1" x14ac:dyDescent="0.35">
      <c r="A17" s="33">
        <v>43746</v>
      </c>
      <c r="B17" s="19" t="s">
        <v>160</v>
      </c>
      <c r="C17" s="74" t="s">
        <v>148</v>
      </c>
      <c r="D17" s="20" t="s">
        <v>10</v>
      </c>
      <c r="E17" s="81">
        <v>0.08</v>
      </c>
      <c r="F17" s="82"/>
      <c r="G17" s="38">
        <f>(11*95)/1000</f>
        <v>1.0449999999999999</v>
      </c>
      <c r="H17" s="39">
        <f>(11*70)/1000</f>
        <v>0.77</v>
      </c>
      <c r="I17" s="29">
        <f>SUM(G17+H17)</f>
        <v>1.8149999999999999</v>
      </c>
      <c r="K17" s="1"/>
      <c r="L17"/>
      <c r="M17"/>
      <c r="N17"/>
    </row>
    <row r="18" spans="1:14" s="23" customFormat="1" ht="26.4" thickBot="1" x14ac:dyDescent="0.35">
      <c r="A18" s="37" t="s">
        <v>161</v>
      </c>
      <c r="B18" s="25"/>
      <c r="C18" s="98"/>
      <c r="D18" s="25"/>
      <c r="E18" s="26"/>
      <c r="F18" s="26"/>
      <c r="G18" s="31" t="s">
        <v>131</v>
      </c>
      <c r="H18" s="32"/>
      <c r="I18" s="28"/>
      <c r="K18" s="1"/>
      <c r="L18"/>
      <c r="M18"/>
      <c r="N18"/>
    </row>
    <row r="19" spans="1:14" s="23" customFormat="1" ht="27.45" customHeight="1" thickBot="1" x14ac:dyDescent="0.35">
      <c r="A19" s="33">
        <v>43746</v>
      </c>
      <c r="B19" s="17" t="s">
        <v>67</v>
      </c>
      <c r="C19" s="17" t="s">
        <v>150</v>
      </c>
      <c r="D19" s="20" t="s">
        <v>10</v>
      </c>
      <c r="E19" s="81">
        <v>0.56000000000000005</v>
      </c>
      <c r="F19" s="82"/>
      <c r="G19" s="38">
        <f>(40*95)/1000</f>
        <v>3.8</v>
      </c>
      <c r="H19" s="39">
        <f>(40*70)/1000</f>
        <v>2.8</v>
      </c>
      <c r="I19" s="29">
        <f>SUM(G19+H19)</f>
        <v>6.6</v>
      </c>
      <c r="K19" s="1"/>
      <c r="L19"/>
      <c r="M19"/>
      <c r="N19"/>
    </row>
    <row r="20" spans="1:14" s="23" customFormat="1" ht="26.4" thickBot="1" x14ac:dyDescent="0.35">
      <c r="A20" s="37" t="s">
        <v>0</v>
      </c>
      <c r="B20" s="25"/>
      <c r="C20" s="98"/>
      <c r="D20" s="25"/>
      <c r="E20" s="78"/>
      <c r="F20" s="26"/>
      <c r="G20" s="31" t="s">
        <v>7</v>
      </c>
      <c r="H20" s="27"/>
      <c r="I20" s="28"/>
      <c r="K20" s="1"/>
      <c r="L20"/>
      <c r="M20"/>
      <c r="N20"/>
    </row>
    <row r="21" spans="1:14" s="23" customFormat="1" ht="27.45" customHeight="1" thickBot="1" x14ac:dyDescent="0.35">
      <c r="A21" s="33">
        <v>43742</v>
      </c>
      <c r="B21" s="75" t="s">
        <v>101</v>
      </c>
      <c r="C21" s="17" t="s">
        <v>158</v>
      </c>
      <c r="D21" s="20" t="s">
        <v>1</v>
      </c>
      <c r="E21" s="79">
        <v>1.9</v>
      </c>
      <c r="F21" s="80"/>
      <c r="G21" s="21">
        <f>(19*95)/1000</f>
        <v>1.8049999999999999</v>
      </c>
      <c r="H21" s="22">
        <f>(19*70)/1000</f>
        <v>1.33</v>
      </c>
      <c r="I21" s="29">
        <f>SUM(G21+H21)</f>
        <v>3.1349999999999998</v>
      </c>
      <c r="K21" s="1"/>
      <c r="L21"/>
      <c r="M21"/>
      <c r="N21"/>
    </row>
    <row r="22" spans="1:14" s="23" customFormat="1" ht="26.4" thickBot="1" x14ac:dyDescent="0.35">
      <c r="A22" s="24" t="s">
        <v>157</v>
      </c>
      <c r="B22" s="25"/>
      <c r="C22" s="100"/>
      <c r="D22" s="25"/>
      <c r="E22" s="26"/>
      <c r="F22" s="26"/>
      <c r="G22" s="31" t="s">
        <v>103</v>
      </c>
      <c r="H22" s="27"/>
      <c r="I22" s="28"/>
      <c r="K22" s="1"/>
      <c r="L22"/>
      <c r="M22"/>
      <c r="N22"/>
    </row>
    <row r="23" spans="1:14" s="23" customFormat="1" ht="52.2" thickBot="1" x14ac:dyDescent="0.35">
      <c r="A23" s="33">
        <v>43742</v>
      </c>
      <c r="B23" s="75" t="s">
        <v>154</v>
      </c>
      <c r="C23" s="17" t="s">
        <v>113</v>
      </c>
      <c r="D23" s="20" t="s">
        <v>1</v>
      </c>
      <c r="E23" s="79">
        <v>7.25</v>
      </c>
      <c r="F23" s="80"/>
      <c r="G23" s="21">
        <f>(72.5*95)/1000</f>
        <v>6.8875000000000002</v>
      </c>
      <c r="H23" s="22">
        <f>(72.5*70)/1000</f>
        <v>5.0750000000000002</v>
      </c>
      <c r="I23" s="29">
        <f>SUM(G23+H23)</f>
        <v>11.9625</v>
      </c>
    </row>
    <row r="24" spans="1:14" s="23" customFormat="1" ht="26.4" thickBot="1" x14ac:dyDescent="0.35">
      <c r="A24" s="24" t="s">
        <v>156</v>
      </c>
      <c r="B24" s="25"/>
      <c r="C24" s="100"/>
      <c r="D24" s="25"/>
      <c r="E24" s="26"/>
      <c r="F24" s="26"/>
      <c r="G24" s="31" t="s">
        <v>155</v>
      </c>
      <c r="H24" s="27"/>
      <c r="I24" s="28"/>
    </row>
    <row r="25" spans="1:14" s="23" customFormat="1" ht="26.4" thickBot="1" x14ac:dyDescent="0.35">
      <c r="A25" s="33">
        <v>43741</v>
      </c>
      <c r="B25" s="75" t="s">
        <v>152</v>
      </c>
      <c r="C25" s="17" t="s">
        <v>153</v>
      </c>
      <c r="D25" s="17" t="s">
        <v>49</v>
      </c>
      <c r="E25" s="79">
        <v>0.4</v>
      </c>
      <c r="F25" s="80"/>
      <c r="G25" s="21">
        <f>(52*95)/1000</f>
        <v>4.9400000000000004</v>
      </c>
      <c r="H25" s="22">
        <f>(52*70)/1000</f>
        <v>3.64</v>
      </c>
      <c r="I25" s="29">
        <f>SUM(G25+H25)</f>
        <v>8.58</v>
      </c>
    </row>
    <row r="26" spans="1:14" s="23" customFormat="1" ht="26.4" thickBot="1" x14ac:dyDescent="0.35">
      <c r="A26" s="37" t="s">
        <v>151</v>
      </c>
      <c r="B26" s="25"/>
      <c r="C26" s="100"/>
      <c r="D26" s="25"/>
      <c r="E26" s="26"/>
      <c r="F26" s="26"/>
      <c r="G26" s="31" t="s">
        <v>5</v>
      </c>
      <c r="H26" s="27"/>
      <c r="I26" s="28"/>
    </row>
    <row r="27" spans="1:14" s="23" customFormat="1" ht="52.2" thickBot="1" x14ac:dyDescent="0.35">
      <c r="A27" s="33">
        <v>43740</v>
      </c>
      <c r="B27" s="75" t="s">
        <v>85</v>
      </c>
      <c r="C27" s="17" t="s">
        <v>149</v>
      </c>
      <c r="D27" s="17" t="s">
        <v>86</v>
      </c>
      <c r="E27" s="79">
        <v>0</v>
      </c>
      <c r="F27" s="80"/>
      <c r="G27" s="21">
        <f>(2*95)/1000</f>
        <v>0.19</v>
      </c>
      <c r="H27" s="22">
        <f>(2*70)/1000</f>
        <v>0.14000000000000001</v>
      </c>
      <c r="I27" s="29">
        <f>SUM(G27+H27)</f>
        <v>0.33</v>
      </c>
    </row>
    <row r="28" spans="1:14" s="23" customFormat="1" ht="27.45" customHeight="1" thickBot="1" x14ac:dyDescent="0.35">
      <c r="A28" s="37" t="s">
        <v>123</v>
      </c>
      <c r="B28" s="25"/>
      <c r="C28" s="100"/>
      <c r="D28" s="25"/>
      <c r="E28" s="26"/>
      <c r="F28" s="26"/>
      <c r="G28" s="31" t="s">
        <v>124</v>
      </c>
      <c r="H28" s="27"/>
      <c r="I28" s="28"/>
    </row>
    <row r="29" spans="1:14" s="23" customFormat="1" ht="26.4" thickBot="1" x14ac:dyDescent="0.35">
      <c r="A29" s="33">
        <v>43740</v>
      </c>
      <c r="B29" s="17" t="s">
        <v>67</v>
      </c>
      <c r="C29" s="17" t="s">
        <v>150</v>
      </c>
      <c r="D29" s="20" t="s">
        <v>10</v>
      </c>
      <c r="E29" s="81">
        <v>0.56000000000000005</v>
      </c>
      <c r="F29" s="82"/>
      <c r="G29" s="38">
        <f>(40*95)/1000</f>
        <v>3.8</v>
      </c>
      <c r="H29" s="39">
        <f>(40*70)/1000</f>
        <v>2.8</v>
      </c>
      <c r="I29" s="29">
        <f>SUM(G29+H29)</f>
        <v>6.6</v>
      </c>
    </row>
    <row r="30" spans="1:14" s="54" customFormat="1" ht="26.4" thickBot="1" x14ac:dyDescent="0.35">
      <c r="A30" s="37" t="s">
        <v>0</v>
      </c>
      <c r="B30" s="25"/>
      <c r="C30" s="98"/>
      <c r="D30" s="25"/>
      <c r="E30" s="78"/>
      <c r="F30" s="26"/>
      <c r="G30" s="31" t="s">
        <v>7</v>
      </c>
      <c r="H30" s="27"/>
      <c r="I30" s="28"/>
    </row>
    <row r="31" spans="1:14" s="23" customFormat="1" ht="26.4" thickBot="1" x14ac:dyDescent="0.35">
      <c r="A31" s="33">
        <v>43738</v>
      </c>
      <c r="B31" s="19" t="s">
        <v>67</v>
      </c>
      <c r="C31" s="74" t="s">
        <v>148</v>
      </c>
      <c r="D31" s="20" t="s">
        <v>10</v>
      </c>
      <c r="E31" s="81">
        <v>0.56000000000000005</v>
      </c>
      <c r="F31" s="82"/>
      <c r="G31" s="38">
        <f>(40*95)/1000</f>
        <v>3.8</v>
      </c>
      <c r="H31" s="39">
        <f>(40*70)/1000</f>
        <v>2.8</v>
      </c>
      <c r="I31" s="29">
        <f>SUM(G31+H31)</f>
        <v>6.6</v>
      </c>
    </row>
    <row r="32" spans="1:14" s="23" customFormat="1" ht="26.4" thickBot="1" x14ac:dyDescent="0.35">
      <c r="A32" s="37" t="s">
        <v>0</v>
      </c>
      <c r="B32" s="25"/>
      <c r="C32" s="98"/>
      <c r="D32" s="25"/>
      <c r="E32" s="26"/>
      <c r="F32" s="26"/>
      <c r="G32" s="31" t="s">
        <v>7</v>
      </c>
      <c r="H32" s="32"/>
      <c r="I32" s="28"/>
    </row>
    <row r="33" spans="1:9" s="23" customFormat="1" ht="27" customHeight="1" thickBot="1" x14ac:dyDescent="0.35">
      <c r="A33" s="33">
        <v>43736</v>
      </c>
      <c r="B33" s="17" t="s">
        <v>144</v>
      </c>
      <c r="C33" s="17" t="s">
        <v>145</v>
      </c>
      <c r="D33" s="20" t="s">
        <v>10</v>
      </c>
      <c r="E33" s="79">
        <v>0.76</v>
      </c>
      <c r="F33" s="80"/>
      <c r="G33" s="21">
        <f>(103*95)/1000</f>
        <v>9.7850000000000001</v>
      </c>
      <c r="H33" s="22">
        <f>(103*70)/1000</f>
        <v>7.21</v>
      </c>
      <c r="I33" s="29">
        <f>SUM(G33+H33)</f>
        <v>16.995000000000001</v>
      </c>
    </row>
    <row r="34" spans="1:9" s="23" customFormat="1" ht="27.45" customHeight="1" thickBot="1" x14ac:dyDescent="0.35">
      <c r="A34" s="37" t="s">
        <v>147</v>
      </c>
      <c r="B34" s="25"/>
      <c r="C34" s="100"/>
      <c r="D34" s="25"/>
      <c r="E34" s="26"/>
      <c r="F34" s="26"/>
      <c r="G34" s="31" t="s">
        <v>146</v>
      </c>
      <c r="H34" s="27"/>
      <c r="I34" s="28"/>
    </row>
    <row r="35" spans="1:9" s="23" customFormat="1" ht="27.45" customHeight="1" thickBot="1" x14ac:dyDescent="0.35">
      <c r="A35" s="18">
        <v>43736</v>
      </c>
      <c r="B35" s="75" t="s">
        <v>141</v>
      </c>
      <c r="C35" s="17" t="s">
        <v>140</v>
      </c>
      <c r="D35" s="17" t="s">
        <v>1</v>
      </c>
      <c r="E35" s="79">
        <v>0.95</v>
      </c>
      <c r="F35" s="80"/>
      <c r="G35" s="21">
        <f>(9.5*95)/1000</f>
        <v>0.90249999999999997</v>
      </c>
      <c r="H35" s="22">
        <f>(9.5*70)/1000</f>
        <v>0.66500000000000004</v>
      </c>
      <c r="I35" s="29">
        <f>SUM(G35+H35)</f>
        <v>1.5674999999999999</v>
      </c>
    </row>
    <row r="36" spans="1:9" s="23" customFormat="1" ht="26.4" thickBot="1" x14ac:dyDescent="0.35">
      <c r="A36" s="24" t="s">
        <v>142</v>
      </c>
      <c r="B36" s="25"/>
      <c r="C36" s="100"/>
      <c r="D36" s="25"/>
      <c r="E36" s="26"/>
      <c r="F36" s="26"/>
      <c r="G36" s="31" t="s">
        <v>143</v>
      </c>
      <c r="H36" s="27"/>
      <c r="I36" s="28"/>
    </row>
    <row r="37" spans="1:9" s="23" customFormat="1" ht="27.45" customHeight="1" thickBot="1" x14ac:dyDescent="0.35">
      <c r="A37" s="33">
        <v>43735</v>
      </c>
      <c r="B37" s="34" t="s">
        <v>60</v>
      </c>
      <c r="C37" s="74" t="s">
        <v>61</v>
      </c>
      <c r="D37" s="20" t="s">
        <v>10</v>
      </c>
      <c r="E37" s="81">
        <v>0.8</v>
      </c>
      <c r="F37" s="82"/>
      <c r="G37" s="35">
        <f>(100*95)/1000</f>
        <v>9.5</v>
      </c>
      <c r="H37" s="36">
        <f>(100*70)/1000</f>
        <v>7</v>
      </c>
      <c r="I37" s="29">
        <f>SUM(G37+H37)</f>
        <v>16.5</v>
      </c>
    </row>
    <row r="38" spans="1:9" s="23" customFormat="1" ht="27.45" customHeight="1" thickBot="1" x14ac:dyDescent="0.35">
      <c r="A38" s="37" t="s">
        <v>62</v>
      </c>
      <c r="B38" s="25"/>
      <c r="C38" s="98"/>
      <c r="D38" s="25"/>
      <c r="E38" s="26"/>
      <c r="F38" s="26"/>
      <c r="G38" s="31" t="s">
        <v>63</v>
      </c>
      <c r="H38" s="27"/>
      <c r="I38" s="28"/>
    </row>
    <row r="39" spans="1:9" s="23" customFormat="1" ht="52.2" thickBot="1" x14ac:dyDescent="0.35">
      <c r="A39" s="33">
        <v>43732</v>
      </c>
      <c r="B39" s="75" t="s">
        <v>85</v>
      </c>
      <c r="C39" s="17" t="s">
        <v>139</v>
      </c>
      <c r="D39" s="17" t="s">
        <v>86</v>
      </c>
      <c r="E39" s="79">
        <v>0</v>
      </c>
      <c r="F39" s="80"/>
      <c r="G39" s="21">
        <f>(2*95)/1000</f>
        <v>0.19</v>
      </c>
      <c r="H39" s="22">
        <f>(2*70)/1000</f>
        <v>0.14000000000000001</v>
      </c>
      <c r="I39" s="29">
        <f>SUM(G39+H39)</f>
        <v>0.33</v>
      </c>
    </row>
    <row r="40" spans="1:9" s="23" customFormat="1" ht="26.4" thickBot="1" x14ac:dyDescent="0.35">
      <c r="A40" s="37" t="s">
        <v>123</v>
      </c>
      <c r="B40" s="25"/>
      <c r="C40" s="100"/>
      <c r="D40" s="25"/>
      <c r="E40" s="26"/>
      <c r="F40" s="26"/>
      <c r="G40" s="31" t="s">
        <v>124</v>
      </c>
      <c r="H40" s="27"/>
      <c r="I40" s="28"/>
    </row>
    <row r="41" spans="1:9" s="23" customFormat="1" ht="27.45" customHeight="1" thickBot="1" x14ac:dyDescent="0.35">
      <c r="A41" s="18">
        <v>43729</v>
      </c>
      <c r="B41" s="17" t="s">
        <v>135</v>
      </c>
      <c r="C41" s="17" t="s">
        <v>136</v>
      </c>
      <c r="D41" s="17" t="s">
        <v>1</v>
      </c>
      <c r="E41" s="79">
        <v>3.15</v>
      </c>
      <c r="F41" s="80"/>
      <c r="G41" s="21">
        <f>(31.5*95)/1000</f>
        <v>2.9925000000000002</v>
      </c>
      <c r="H41" s="22">
        <f>(31.5*70)/1000</f>
        <v>2.2050000000000001</v>
      </c>
      <c r="I41" s="29">
        <f>SUM(G41+H41)</f>
        <v>5.1974999999999998</v>
      </c>
    </row>
    <row r="42" spans="1:9" s="23" customFormat="1" ht="27.45" customHeight="1" thickBot="1" x14ac:dyDescent="0.35">
      <c r="A42" s="24" t="s">
        <v>137</v>
      </c>
      <c r="B42" s="25"/>
      <c r="C42" s="100"/>
      <c r="D42" s="25"/>
      <c r="E42" s="26"/>
      <c r="F42" s="26"/>
      <c r="G42" s="31" t="s">
        <v>138</v>
      </c>
      <c r="H42" s="27"/>
      <c r="I42" s="28"/>
    </row>
    <row r="43" spans="1:9" s="23" customFormat="1" ht="26.4" thickBot="1" x14ac:dyDescent="0.35">
      <c r="A43" s="18">
        <v>43729</v>
      </c>
      <c r="B43" s="17" t="s">
        <v>132</v>
      </c>
      <c r="C43" s="17" t="s">
        <v>25</v>
      </c>
      <c r="D43" s="17" t="s">
        <v>1</v>
      </c>
      <c r="E43" s="79">
        <v>0.65</v>
      </c>
      <c r="F43" s="80"/>
      <c r="G43" s="21">
        <f>(6.5*95)/1000</f>
        <v>0.61750000000000005</v>
      </c>
      <c r="H43" s="22">
        <f>(6.5*70)/1000</f>
        <v>0.45500000000000002</v>
      </c>
      <c r="I43" s="29">
        <f>SUM(G43+H43)</f>
        <v>1.0725</v>
      </c>
    </row>
    <row r="44" spans="1:9" s="23" customFormat="1" ht="27.45" customHeight="1" thickBot="1" x14ac:dyDescent="0.35">
      <c r="A44" s="24" t="s">
        <v>133</v>
      </c>
      <c r="B44" s="25"/>
      <c r="C44" s="100"/>
      <c r="D44" s="25"/>
      <c r="E44" s="26"/>
      <c r="F44" s="26"/>
      <c r="G44" s="31" t="s">
        <v>134</v>
      </c>
      <c r="H44" s="27"/>
      <c r="I44" s="28"/>
    </row>
    <row r="45" spans="1:9" s="23" customFormat="1" ht="26.4" thickBot="1" x14ac:dyDescent="0.35">
      <c r="A45" s="18">
        <v>43729</v>
      </c>
      <c r="B45" s="17" t="s">
        <v>128</v>
      </c>
      <c r="C45" s="17" t="s">
        <v>129</v>
      </c>
      <c r="D45" s="17" t="s">
        <v>1</v>
      </c>
      <c r="E45" s="79">
        <v>1.1000000000000001</v>
      </c>
      <c r="F45" s="80"/>
      <c r="G45" s="21">
        <f>(11*95)/1000</f>
        <v>1.0449999999999999</v>
      </c>
      <c r="H45" s="22">
        <f>(11*70)/1000</f>
        <v>0.77</v>
      </c>
      <c r="I45" s="29">
        <f>SUM(G45+H45)</f>
        <v>1.8149999999999999</v>
      </c>
    </row>
    <row r="46" spans="1:9" ht="26.4" thickBot="1" x14ac:dyDescent="0.35">
      <c r="A46" s="24" t="s">
        <v>130</v>
      </c>
      <c r="B46" s="25"/>
      <c r="C46" s="100"/>
      <c r="D46" s="25"/>
      <c r="E46" s="26"/>
      <c r="F46" s="26"/>
      <c r="G46" s="31" t="s">
        <v>131</v>
      </c>
      <c r="H46" s="27"/>
      <c r="I46" s="28"/>
    </row>
    <row r="47" spans="1:9" ht="26.4" thickBot="1" x14ac:dyDescent="0.35">
      <c r="A47" s="18">
        <v>43729</v>
      </c>
      <c r="B47" s="17" t="s">
        <v>126</v>
      </c>
      <c r="C47" s="17" t="s">
        <v>25</v>
      </c>
      <c r="D47" s="17" t="s">
        <v>1</v>
      </c>
      <c r="E47" s="79">
        <v>1.9</v>
      </c>
      <c r="F47" s="80"/>
      <c r="G47" s="21">
        <f>(19*95)/1000</f>
        <v>1.8049999999999999</v>
      </c>
      <c r="H47" s="22">
        <f>(19*70)/1000</f>
        <v>1.33</v>
      </c>
      <c r="I47" s="29">
        <f>SUM(G47+H47)</f>
        <v>3.1349999999999998</v>
      </c>
    </row>
    <row r="48" spans="1:9" ht="26.4" thickBot="1" x14ac:dyDescent="0.35">
      <c r="A48" s="24" t="s">
        <v>127</v>
      </c>
      <c r="B48" s="25"/>
      <c r="C48" s="100"/>
      <c r="D48" s="25"/>
      <c r="E48" s="26"/>
      <c r="F48" s="26"/>
      <c r="G48" s="31" t="s">
        <v>103</v>
      </c>
      <c r="H48" s="27"/>
      <c r="I48" s="28"/>
    </row>
    <row r="49" spans="1:9" ht="26.4" thickBot="1" x14ac:dyDescent="0.35">
      <c r="A49" s="33">
        <v>43729</v>
      </c>
      <c r="B49" s="17" t="s">
        <v>26</v>
      </c>
      <c r="C49" s="17" t="s">
        <v>25</v>
      </c>
      <c r="D49" s="17" t="s">
        <v>49</v>
      </c>
      <c r="E49" s="81">
        <v>0.28000000000000003</v>
      </c>
      <c r="F49" s="82"/>
      <c r="G49" s="21">
        <f>(20*95)/1000</f>
        <v>1.9</v>
      </c>
      <c r="H49" s="39">
        <f>(20*70)/1000</f>
        <v>1.4</v>
      </c>
      <c r="I49" s="29">
        <f>SUM(G49+H49)</f>
        <v>3.3</v>
      </c>
    </row>
    <row r="50" spans="1:9" ht="26.4" thickBot="1" x14ac:dyDescent="0.35">
      <c r="A50" s="37" t="s">
        <v>27</v>
      </c>
      <c r="B50" s="25"/>
      <c r="C50" s="98"/>
      <c r="D50" s="25"/>
      <c r="E50" s="78"/>
      <c r="F50" s="26"/>
      <c r="G50" s="31" t="s">
        <v>28</v>
      </c>
      <c r="H50" s="27"/>
      <c r="I50" s="28"/>
    </row>
    <row r="51" spans="1:9" ht="26.4" thickBot="1" x14ac:dyDescent="0.35">
      <c r="A51" s="33">
        <v>43728</v>
      </c>
      <c r="B51" s="75" t="s">
        <v>101</v>
      </c>
      <c r="C51" s="17" t="s">
        <v>25</v>
      </c>
      <c r="D51" s="17" t="s">
        <v>49</v>
      </c>
      <c r="E51" s="79">
        <v>0.14399999999999999</v>
      </c>
      <c r="F51" s="80"/>
      <c r="G51" s="21">
        <f>(19*95)/1000</f>
        <v>1.8049999999999999</v>
      </c>
      <c r="H51" s="22">
        <f>(19*70)/1000</f>
        <v>1.33</v>
      </c>
      <c r="I51" s="29">
        <f>SUM(G51+H51)</f>
        <v>3.1349999999999998</v>
      </c>
    </row>
    <row r="52" spans="1:9" ht="26.4" thickBot="1" x14ac:dyDescent="0.35">
      <c r="A52" s="37" t="s">
        <v>104</v>
      </c>
      <c r="B52" s="25"/>
      <c r="C52" s="100"/>
      <c r="D52" s="25"/>
      <c r="E52" s="26"/>
      <c r="F52" s="26"/>
      <c r="G52" s="31" t="s">
        <v>103</v>
      </c>
      <c r="H52" s="27"/>
      <c r="I52" s="28"/>
    </row>
    <row r="53" spans="1:9" ht="26.4" thickBot="1" x14ac:dyDescent="0.35">
      <c r="A53" s="33">
        <v>43728</v>
      </c>
      <c r="B53" s="75" t="s">
        <v>85</v>
      </c>
      <c r="C53" s="17" t="s">
        <v>122</v>
      </c>
      <c r="D53" s="17" t="s">
        <v>86</v>
      </c>
      <c r="E53" s="79">
        <v>0</v>
      </c>
      <c r="F53" s="80"/>
      <c r="G53" s="21">
        <f>(2*95)/1000</f>
        <v>0.19</v>
      </c>
      <c r="H53" s="22">
        <f>(2*70)/1000</f>
        <v>0.14000000000000001</v>
      </c>
      <c r="I53" s="29">
        <f>SUM(G53+H53)</f>
        <v>0.33</v>
      </c>
    </row>
    <row r="54" spans="1:9" ht="26.4" thickBot="1" x14ac:dyDescent="0.35">
      <c r="A54" s="37" t="s">
        <v>123</v>
      </c>
      <c r="B54" s="25"/>
      <c r="C54" s="100"/>
      <c r="D54" s="25"/>
      <c r="E54" s="26"/>
      <c r="F54" s="26"/>
      <c r="G54" s="31" t="s">
        <v>124</v>
      </c>
      <c r="H54" s="27"/>
      <c r="I54" s="28"/>
    </row>
    <row r="55" spans="1:9" ht="26.4" thickBot="1" x14ac:dyDescent="0.35">
      <c r="A55" s="33">
        <v>43726</v>
      </c>
      <c r="B55" s="75" t="s">
        <v>85</v>
      </c>
      <c r="C55" s="17" t="s">
        <v>125</v>
      </c>
      <c r="D55" s="17" t="s">
        <v>86</v>
      </c>
      <c r="E55" s="79">
        <v>0</v>
      </c>
      <c r="F55" s="80"/>
      <c r="G55" s="21">
        <f>(3*95)/1000</f>
        <v>0.28499999999999998</v>
      </c>
      <c r="H55" s="39">
        <f>(3*70)/1000</f>
        <v>0.21</v>
      </c>
      <c r="I55" s="29">
        <f>SUM(G55+H55)</f>
        <v>0.495</v>
      </c>
    </row>
    <row r="56" spans="1:9" ht="26.4" thickBot="1" x14ac:dyDescent="0.35">
      <c r="A56" s="37" t="s">
        <v>88</v>
      </c>
      <c r="B56" s="25"/>
      <c r="C56" s="98"/>
      <c r="D56" s="25"/>
      <c r="E56" s="78"/>
      <c r="F56" s="26"/>
      <c r="G56" s="31" t="s">
        <v>87</v>
      </c>
      <c r="H56" s="27"/>
      <c r="I56" s="28"/>
    </row>
    <row r="57" spans="1:9" ht="52.2" thickBot="1" x14ac:dyDescent="0.35">
      <c r="A57" s="18">
        <v>43722</v>
      </c>
      <c r="B57" s="75" t="s">
        <v>118</v>
      </c>
      <c r="C57" s="17" t="s">
        <v>121</v>
      </c>
      <c r="D57" s="17" t="s">
        <v>49</v>
      </c>
      <c r="E57" s="79">
        <v>0.26500000000000001</v>
      </c>
      <c r="F57" s="80"/>
      <c r="G57" s="21">
        <f>(10.6*95)/1000</f>
        <v>1.0069999999999999</v>
      </c>
      <c r="H57" s="22">
        <f>(10.6*70)/1000</f>
        <v>0.74199999999999999</v>
      </c>
      <c r="I57" s="29">
        <f>SUM(G57+H57)</f>
        <v>1.7489999999999999</v>
      </c>
    </row>
    <row r="58" spans="1:9" ht="26.4" thickBot="1" x14ac:dyDescent="0.35">
      <c r="A58" s="30" t="s">
        <v>119</v>
      </c>
      <c r="B58" s="25"/>
      <c r="C58" s="100"/>
      <c r="D58" s="25"/>
      <c r="E58" s="26"/>
      <c r="F58" s="26"/>
      <c r="G58" s="31" t="s">
        <v>120</v>
      </c>
      <c r="H58" s="27"/>
      <c r="I58" s="28"/>
    </row>
    <row r="59" spans="1:9" ht="52.2" thickBot="1" x14ac:dyDescent="0.35">
      <c r="A59" s="33">
        <v>43722</v>
      </c>
      <c r="B59" s="75" t="s">
        <v>114</v>
      </c>
      <c r="C59" s="17" t="s">
        <v>113</v>
      </c>
      <c r="D59" s="20" t="s">
        <v>21</v>
      </c>
      <c r="E59" s="79">
        <v>2.2690000000000001</v>
      </c>
      <c r="F59" s="80"/>
      <c r="G59" s="21">
        <f>(47.5*95)/1000</f>
        <v>4.5125000000000002</v>
      </c>
      <c r="H59" s="22">
        <f>(47.5*70)/1000</f>
        <v>3.3250000000000002</v>
      </c>
      <c r="I59" s="29">
        <f>SUM(G59+H59)</f>
        <v>7.8375000000000004</v>
      </c>
    </row>
    <row r="60" spans="1:9" ht="25.8" x14ac:dyDescent="0.3">
      <c r="A60" s="30" t="s">
        <v>115</v>
      </c>
      <c r="B60" s="25"/>
      <c r="C60" s="100"/>
      <c r="D60" s="25"/>
      <c r="E60" s="26"/>
      <c r="F60" s="26"/>
      <c r="G60" s="31" t="s">
        <v>117</v>
      </c>
      <c r="H60" s="27"/>
      <c r="I60" s="28"/>
    </row>
    <row r="61" spans="1:9" ht="25.8" x14ac:dyDescent="0.3">
      <c r="A61" s="37" t="s">
        <v>116</v>
      </c>
      <c r="B61" s="41"/>
      <c r="C61" s="101"/>
      <c r="D61" s="41"/>
      <c r="E61" s="42"/>
      <c r="F61" s="42"/>
      <c r="G61" s="43"/>
      <c r="H61" s="32"/>
      <c r="I61" s="28"/>
    </row>
    <row r="62" spans="1:9" ht="26.4" thickBot="1" x14ac:dyDescent="0.35">
      <c r="A62" s="37" t="s">
        <v>104</v>
      </c>
      <c r="B62" s="41"/>
      <c r="C62" s="101"/>
      <c r="D62" s="41"/>
      <c r="E62" s="42"/>
      <c r="F62" s="42"/>
      <c r="G62" s="43"/>
      <c r="H62" s="32"/>
      <c r="I62" s="28"/>
    </row>
    <row r="63" spans="1:9" ht="26.4" thickBot="1" x14ac:dyDescent="0.35">
      <c r="A63" s="18">
        <v>43720</v>
      </c>
      <c r="B63" s="75" t="s">
        <v>107</v>
      </c>
      <c r="C63" s="17" t="s">
        <v>108</v>
      </c>
      <c r="D63" s="17" t="s">
        <v>110</v>
      </c>
      <c r="E63" s="79">
        <v>1.8</v>
      </c>
      <c r="F63" s="80"/>
      <c r="G63" s="21">
        <f>(19*95)/1000</f>
        <v>1.8049999999999999</v>
      </c>
      <c r="H63" s="22">
        <f>(19*70)/1000</f>
        <v>1.33</v>
      </c>
      <c r="I63" s="29">
        <f>SUM(G63+H63)</f>
        <v>3.1349999999999998</v>
      </c>
    </row>
    <row r="64" spans="1:9" ht="26.4" thickBot="1" x14ac:dyDescent="0.35">
      <c r="A64" s="24" t="s">
        <v>111</v>
      </c>
      <c r="B64" s="25"/>
      <c r="C64" s="100"/>
      <c r="D64" s="25"/>
      <c r="E64" s="26"/>
      <c r="F64" s="26"/>
      <c r="G64" s="31" t="s">
        <v>103</v>
      </c>
      <c r="H64" s="27"/>
      <c r="I64" s="28"/>
    </row>
    <row r="65" spans="1:9" ht="52.2" thickBot="1" x14ac:dyDescent="0.35">
      <c r="A65" s="33">
        <v>43719</v>
      </c>
      <c r="B65" s="75" t="s">
        <v>60</v>
      </c>
      <c r="C65" s="17" t="s">
        <v>112</v>
      </c>
      <c r="D65" s="17" t="s">
        <v>49</v>
      </c>
      <c r="E65" s="79">
        <v>0.8</v>
      </c>
      <c r="F65" s="80"/>
      <c r="G65" s="35">
        <f>(100*95)/1000</f>
        <v>9.5</v>
      </c>
      <c r="H65" s="36">
        <f>(100*70)/1000</f>
        <v>7</v>
      </c>
      <c r="I65" s="29">
        <f>SUM(G65+H65)</f>
        <v>16.5</v>
      </c>
    </row>
    <row r="66" spans="1:9" ht="26.4" thickBot="1" x14ac:dyDescent="0.35">
      <c r="A66" s="37" t="s">
        <v>62</v>
      </c>
      <c r="B66" s="25"/>
      <c r="C66" s="100"/>
      <c r="D66" s="25"/>
      <c r="E66" s="26"/>
      <c r="F66" s="26"/>
      <c r="G66" s="31" t="s">
        <v>63</v>
      </c>
      <c r="H66" s="27"/>
      <c r="I66" s="28"/>
    </row>
    <row r="67" spans="1:9" ht="26.4" thickBot="1" x14ac:dyDescent="0.35">
      <c r="A67" s="33">
        <v>43715</v>
      </c>
      <c r="B67" s="75" t="s">
        <v>101</v>
      </c>
      <c r="C67" s="17" t="s">
        <v>102</v>
      </c>
      <c r="D67" s="17" t="s">
        <v>49</v>
      </c>
      <c r="E67" s="79">
        <v>0.14399999999999999</v>
      </c>
      <c r="F67" s="80"/>
      <c r="G67" s="21">
        <f>(19*95)/1000</f>
        <v>1.8049999999999999</v>
      </c>
      <c r="H67" s="22">
        <f>(19*70)/1000</f>
        <v>1.33</v>
      </c>
      <c r="I67" s="29">
        <f>SUM(G67+H67)</f>
        <v>3.1349999999999998</v>
      </c>
    </row>
    <row r="68" spans="1:9" ht="26.4" thickBot="1" x14ac:dyDescent="0.35">
      <c r="A68" s="37" t="s">
        <v>104</v>
      </c>
      <c r="B68" s="25"/>
      <c r="C68" s="100"/>
      <c r="D68" s="25"/>
      <c r="E68" s="26"/>
      <c r="F68" s="26"/>
      <c r="G68" s="31" t="s">
        <v>103</v>
      </c>
      <c r="H68" s="27"/>
      <c r="I68" s="28"/>
    </row>
    <row r="69" spans="1:9" ht="26.4" thickBot="1" x14ac:dyDescent="0.35">
      <c r="A69" s="18">
        <v>43715</v>
      </c>
      <c r="B69" s="17" t="s">
        <v>98</v>
      </c>
      <c r="C69" s="17" t="s">
        <v>25</v>
      </c>
      <c r="D69" s="17" t="s">
        <v>1</v>
      </c>
      <c r="E69" s="79">
        <v>6</v>
      </c>
      <c r="F69" s="80"/>
      <c r="G69" s="21">
        <f>(60*95)/1000</f>
        <v>5.7</v>
      </c>
      <c r="H69" s="22">
        <f>(60*70)/1000</f>
        <v>4.2</v>
      </c>
      <c r="I69" s="29">
        <f>SUM(G69+H69)</f>
        <v>9.9</v>
      </c>
    </row>
    <row r="70" spans="1:9" ht="26.4" thickBot="1" x14ac:dyDescent="0.35">
      <c r="A70" s="24" t="s">
        <v>99</v>
      </c>
      <c r="B70" s="25"/>
      <c r="C70" s="100"/>
      <c r="D70" s="25"/>
      <c r="E70" s="26"/>
      <c r="F70" s="26"/>
      <c r="G70" s="31" t="s">
        <v>100</v>
      </c>
      <c r="H70" s="27"/>
      <c r="I70" s="28"/>
    </row>
    <row r="71" spans="1:9" ht="25.8" customHeight="1" thickBot="1" x14ac:dyDescent="0.35">
      <c r="A71" s="33">
        <v>43715</v>
      </c>
      <c r="B71" s="75" t="s">
        <v>95</v>
      </c>
      <c r="C71" s="17" t="s">
        <v>25</v>
      </c>
      <c r="D71" s="17" t="s">
        <v>49</v>
      </c>
      <c r="E71" s="79">
        <v>0.23200000000000001</v>
      </c>
      <c r="F71" s="80"/>
      <c r="G71" s="21">
        <f>(31*95)/1000</f>
        <v>2.9449999999999998</v>
      </c>
      <c r="H71" s="22">
        <f>(31*70)/1000</f>
        <v>2.17</v>
      </c>
      <c r="I71" s="29">
        <f>SUM(G71+H71)</f>
        <v>5.1150000000000002</v>
      </c>
    </row>
    <row r="72" spans="1:9" ht="26.4" thickBot="1" x14ac:dyDescent="0.35">
      <c r="A72" s="37" t="s">
        <v>96</v>
      </c>
      <c r="B72" s="25"/>
      <c r="C72" s="100"/>
      <c r="D72" s="25"/>
      <c r="E72" s="26"/>
      <c r="F72" s="26"/>
      <c r="G72" s="31" t="s">
        <v>97</v>
      </c>
      <c r="H72" s="27"/>
      <c r="I72" s="28"/>
    </row>
    <row r="73" spans="1:9" ht="25.8" customHeight="1" thickBot="1" x14ac:dyDescent="0.35">
      <c r="A73" s="33">
        <v>43714</v>
      </c>
      <c r="B73" s="75" t="s">
        <v>92</v>
      </c>
      <c r="C73" s="17" t="s">
        <v>93</v>
      </c>
      <c r="D73" s="17" t="s">
        <v>109</v>
      </c>
      <c r="E73" s="79">
        <v>1.4279999999999999</v>
      </c>
      <c r="F73" s="80"/>
      <c r="G73" s="21">
        <f>(17*95)/1000</f>
        <v>1.615</v>
      </c>
      <c r="H73" s="22">
        <f>(17*70)/1000</f>
        <v>1.19</v>
      </c>
      <c r="I73" s="29">
        <f>SUM(G73+H73)</f>
        <v>2.8049999999999997</v>
      </c>
    </row>
    <row r="74" spans="1:9" ht="25.8" x14ac:dyDescent="0.3">
      <c r="A74" s="37" t="s">
        <v>105</v>
      </c>
      <c r="B74" s="25"/>
      <c r="C74" s="100"/>
      <c r="D74" s="25"/>
      <c r="E74" s="26"/>
      <c r="F74" s="26"/>
      <c r="G74" s="31" t="s">
        <v>94</v>
      </c>
      <c r="H74" s="27"/>
      <c r="I74" s="28"/>
    </row>
    <row r="75" spans="1:9" ht="26.4" thickBot="1" x14ac:dyDescent="0.35">
      <c r="A75" s="37" t="s">
        <v>106</v>
      </c>
      <c r="B75" s="41"/>
      <c r="C75" s="101"/>
      <c r="D75" s="41"/>
      <c r="E75" s="42"/>
      <c r="F75" s="42"/>
      <c r="G75" s="43"/>
      <c r="H75" s="32"/>
      <c r="I75" s="28"/>
    </row>
    <row r="76" spans="1:9" ht="26.4" thickBot="1" x14ac:dyDescent="0.35">
      <c r="A76" s="18">
        <v>43713</v>
      </c>
      <c r="B76" s="19" t="s">
        <v>89</v>
      </c>
      <c r="C76" s="74" t="s">
        <v>70</v>
      </c>
      <c r="D76" s="20" t="s">
        <v>1</v>
      </c>
      <c r="E76" s="79">
        <v>8.73</v>
      </c>
      <c r="F76" s="80"/>
      <c r="G76" s="21">
        <f>(97*95)/1000</f>
        <v>9.2149999999999999</v>
      </c>
      <c r="H76" s="22">
        <f>(97*70)/1000</f>
        <v>6.79</v>
      </c>
      <c r="I76" s="29">
        <f>SUM(G76+H76)</f>
        <v>16.004999999999999</v>
      </c>
    </row>
    <row r="77" spans="1:9" ht="26.4" thickBot="1" x14ac:dyDescent="0.35">
      <c r="A77" s="24" t="s">
        <v>90</v>
      </c>
      <c r="B77" s="25"/>
      <c r="C77" s="100"/>
      <c r="D77" s="25"/>
      <c r="E77" s="26"/>
      <c r="F77" s="26"/>
      <c r="G77" s="31" t="s">
        <v>91</v>
      </c>
      <c r="H77" s="27"/>
      <c r="I77" s="28"/>
    </row>
    <row r="78" spans="1:9" ht="26.4" thickBot="1" x14ac:dyDescent="0.35">
      <c r="A78" s="33">
        <v>43712</v>
      </c>
      <c r="B78" s="17" t="s">
        <v>85</v>
      </c>
      <c r="C78" s="17" t="s">
        <v>40</v>
      </c>
      <c r="D78" s="17" t="s">
        <v>86</v>
      </c>
      <c r="E78" s="81">
        <v>8.9999999999999998E-4</v>
      </c>
      <c r="F78" s="82"/>
      <c r="G78" s="21">
        <f>(3*95)/1000</f>
        <v>0.28499999999999998</v>
      </c>
      <c r="H78" s="39">
        <f>(3*70)/1000</f>
        <v>0.21</v>
      </c>
      <c r="I78" s="29">
        <f>SUM(G78+H78)</f>
        <v>0.495</v>
      </c>
    </row>
    <row r="79" spans="1:9" ht="26.4" thickBot="1" x14ac:dyDescent="0.35">
      <c r="A79" s="37" t="s">
        <v>88</v>
      </c>
      <c r="B79" s="25"/>
      <c r="C79" s="98"/>
      <c r="D79" s="25"/>
      <c r="E79" s="78"/>
      <c r="F79" s="26"/>
      <c r="G79" s="31" t="s">
        <v>87</v>
      </c>
      <c r="H79" s="27"/>
      <c r="I79" s="28"/>
    </row>
    <row r="80" spans="1:9" ht="52.2" thickBot="1" x14ac:dyDescent="0.35">
      <c r="A80" s="18">
        <v>43709</v>
      </c>
      <c r="B80" s="70" t="s">
        <v>81</v>
      </c>
      <c r="C80" s="74" t="s">
        <v>82</v>
      </c>
      <c r="D80" s="20" t="s">
        <v>1</v>
      </c>
      <c r="E80" s="79">
        <v>4.0999999999999996</v>
      </c>
      <c r="F80" s="80"/>
      <c r="G80" s="21">
        <f>(41*95)/1000</f>
        <v>3.895</v>
      </c>
      <c r="H80" s="22">
        <f>(41*70)/1000</f>
        <v>2.87</v>
      </c>
      <c r="I80" s="29">
        <f>SUM(G80+H80)</f>
        <v>6.7650000000000006</v>
      </c>
    </row>
    <row r="81" spans="1:9" ht="25.8" customHeight="1" thickBot="1" x14ac:dyDescent="0.35">
      <c r="A81" s="24" t="s">
        <v>83</v>
      </c>
      <c r="B81" s="25"/>
      <c r="C81" s="100"/>
      <c r="D81" s="25"/>
      <c r="E81" s="26"/>
      <c r="F81" s="26"/>
      <c r="G81" s="31" t="s">
        <v>84</v>
      </c>
      <c r="H81" s="27"/>
      <c r="I81" s="28"/>
    </row>
    <row r="82" spans="1:9" ht="26.4" thickBot="1" x14ac:dyDescent="0.35">
      <c r="A82" s="33">
        <v>43709</v>
      </c>
      <c r="B82" s="17" t="s">
        <v>26</v>
      </c>
      <c r="C82" s="17" t="s">
        <v>73</v>
      </c>
      <c r="D82" s="17" t="s">
        <v>49</v>
      </c>
      <c r="E82" s="81">
        <v>0.28000000000000003</v>
      </c>
      <c r="F82" s="82"/>
      <c r="G82" s="21">
        <f>(20*95)/1000</f>
        <v>1.9</v>
      </c>
      <c r="H82" s="39">
        <f>(20*70)/1000</f>
        <v>1.4</v>
      </c>
      <c r="I82" s="29">
        <f>SUM(G82+H82)</f>
        <v>3.3</v>
      </c>
    </row>
    <row r="83" spans="1:9" ht="25.8" customHeight="1" thickBot="1" x14ac:dyDescent="0.35">
      <c r="A83" s="37" t="s">
        <v>27</v>
      </c>
      <c r="B83" s="25"/>
      <c r="C83" s="98"/>
      <c r="D83" s="25"/>
      <c r="E83" s="78"/>
      <c r="F83" s="26"/>
      <c r="G83" s="31" t="s">
        <v>28</v>
      </c>
      <c r="H83" s="27"/>
      <c r="I83" s="28"/>
    </row>
    <row r="84" spans="1:9" ht="52.2" thickBot="1" x14ac:dyDescent="0.35">
      <c r="A84" s="33">
        <v>43708</v>
      </c>
      <c r="B84" s="34" t="s">
        <v>74</v>
      </c>
      <c r="C84" s="17" t="s">
        <v>75</v>
      </c>
      <c r="D84" s="73" t="s">
        <v>49</v>
      </c>
      <c r="E84" s="81">
        <v>0.25</v>
      </c>
      <c r="F84" s="82"/>
      <c r="G84" s="21">
        <f>(10*95)/1000</f>
        <v>0.95</v>
      </c>
      <c r="H84" s="39">
        <f>(10*70)/1000</f>
        <v>0.7</v>
      </c>
      <c r="I84" s="29">
        <f>SUM(G84+H84)</f>
        <v>1.65</v>
      </c>
    </row>
    <row r="85" spans="1:9" ht="26.4" thickBot="1" x14ac:dyDescent="0.35">
      <c r="A85" s="30" t="s">
        <v>78</v>
      </c>
      <c r="B85" s="25"/>
      <c r="C85" s="98"/>
      <c r="D85" s="25"/>
      <c r="E85" s="78"/>
      <c r="F85" s="26"/>
      <c r="G85" s="31" t="s">
        <v>79</v>
      </c>
      <c r="H85" s="27"/>
      <c r="I85" s="28"/>
    </row>
    <row r="86" spans="1:9" ht="26.4" thickBot="1" x14ac:dyDescent="0.35">
      <c r="A86" s="33">
        <v>43707</v>
      </c>
      <c r="B86" s="17" t="s">
        <v>67</v>
      </c>
      <c r="C86" s="17" t="s">
        <v>73</v>
      </c>
      <c r="D86" s="17" t="s">
        <v>49</v>
      </c>
      <c r="E86" s="81">
        <v>0.56000000000000005</v>
      </c>
      <c r="F86" s="82"/>
      <c r="G86" s="21">
        <f>(40*95)/1000</f>
        <v>3.8</v>
      </c>
      <c r="H86" s="39">
        <f>(40*70)/1000</f>
        <v>2.8</v>
      </c>
      <c r="I86" s="29">
        <f>SUM(G86+H86)</f>
        <v>6.6</v>
      </c>
    </row>
    <row r="87" spans="1:9" ht="26.4" thickBot="1" x14ac:dyDescent="0.35">
      <c r="A87" s="37" t="s">
        <v>0</v>
      </c>
      <c r="B87" s="25"/>
      <c r="C87" s="98"/>
      <c r="D87" s="25"/>
      <c r="E87" s="78"/>
      <c r="F87" s="26"/>
      <c r="G87" s="31" t="s">
        <v>7</v>
      </c>
      <c r="H87" s="27"/>
      <c r="I87" s="28"/>
    </row>
    <row r="88" spans="1:9" ht="26.4" thickBot="1" x14ac:dyDescent="0.35">
      <c r="A88" s="18">
        <v>43706</v>
      </c>
      <c r="B88" s="19" t="s">
        <v>71</v>
      </c>
      <c r="C88" s="74" t="s">
        <v>72</v>
      </c>
      <c r="D88" s="20" t="s">
        <v>1</v>
      </c>
      <c r="E88" s="79">
        <v>2.2000000000000002</v>
      </c>
      <c r="F88" s="80"/>
      <c r="G88" s="21">
        <f>(22*95)/1000</f>
        <v>2.09</v>
      </c>
      <c r="H88" s="22">
        <f>(22*70)/1000</f>
        <v>1.54</v>
      </c>
      <c r="I88" s="29">
        <f>SUM(G88+H88)</f>
        <v>3.63</v>
      </c>
    </row>
    <row r="89" spans="1:9" ht="26.4" thickBot="1" x14ac:dyDescent="0.35">
      <c r="A89" s="24" t="s">
        <v>35</v>
      </c>
      <c r="B89" s="25"/>
      <c r="C89" s="100"/>
      <c r="D89" s="25"/>
      <c r="E89" s="26"/>
      <c r="F89" s="26"/>
      <c r="G89" s="31" t="s">
        <v>36</v>
      </c>
      <c r="H89" s="27"/>
      <c r="I89" s="28"/>
    </row>
    <row r="90" spans="1:9" ht="26.4" thickBot="1" x14ac:dyDescent="0.35">
      <c r="A90" s="33">
        <v>43704</v>
      </c>
      <c r="B90" s="19" t="s">
        <v>69</v>
      </c>
      <c r="C90" s="74" t="s">
        <v>70</v>
      </c>
      <c r="D90" s="20" t="s">
        <v>10</v>
      </c>
      <c r="E90" s="79">
        <v>1.7</v>
      </c>
      <c r="F90" s="80"/>
      <c r="G90" s="21">
        <f>(246*95)/1000</f>
        <v>23.37</v>
      </c>
      <c r="H90" s="22">
        <f>(246*70)/1000</f>
        <v>17.22</v>
      </c>
      <c r="I90" s="29">
        <f>SUM(G90+H90)</f>
        <v>40.590000000000003</v>
      </c>
    </row>
    <row r="91" spans="1:9" ht="26.4" thickBot="1" x14ac:dyDescent="0.35">
      <c r="A91" s="24" t="s">
        <v>76</v>
      </c>
      <c r="B91" s="25"/>
      <c r="C91" s="98"/>
      <c r="D91" s="25"/>
      <c r="E91" s="26"/>
      <c r="F91" s="26"/>
      <c r="G91" s="31" t="s">
        <v>77</v>
      </c>
      <c r="H91" s="32"/>
      <c r="I91" s="28"/>
    </row>
    <row r="92" spans="1:9" ht="26.4" thickBot="1" x14ac:dyDescent="0.35">
      <c r="A92" s="18">
        <v>43702</v>
      </c>
      <c r="B92" s="19" t="s">
        <v>34</v>
      </c>
      <c r="C92" s="74" t="s">
        <v>38</v>
      </c>
      <c r="D92" s="20" t="s">
        <v>37</v>
      </c>
      <c r="E92" s="79">
        <v>2.2000000000000002</v>
      </c>
      <c r="F92" s="80"/>
      <c r="G92" s="21">
        <f>(22*95)/1000</f>
        <v>2.09</v>
      </c>
      <c r="H92" s="22">
        <f>(22*70)/1000</f>
        <v>1.54</v>
      </c>
      <c r="I92" s="29">
        <f>SUM(G92+H92)</f>
        <v>3.63</v>
      </c>
    </row>
    <row r="93" spans="1:9" ht="26.4" thickBot="1" x14ac:dyDescent="0.35">
      <c r="A93" s="24" t="s">
        <v>35</v>
      </c>
      <c r="B93" s="25"/>
      <c r="C93" s="100"/>
      <c r="D93" s="25"/>
      <c r="E93" s="26"/>
      <c r="F93" s="26"/>
      <c r="G93" s="31" t="s">
        <v>36</v>
      </c>
      <c r="H93" s="27"/>
      <c r="I93" s="28"/>
    </row>
    <row r="94" spans="1:9" ht="52.2" thickBot="1" x14ac:dyDescent="0.35">
      <c r="A94" s="33">
        <v>43701</v>
      </c>
      <c r="B94" s="70" t="s">
        <v>80</v>
      </c>
      <c r="C94" s="74" t="s">
        <v>29</v>
      </c>
      <c r="D94" s="20" t="s">
        <v>10</v>
      </c>
      <c r="E94" s="79">
        <v>0.7</v>
      </c>
      <c r="F94" s="80"/>
      <c r="G94" s="21">
        <f>(100*95)/1000</f>
        <v>9.5</v>
      </c>
      <c r="H94" s="22">
        <f>(100*70)/1000</f>
        <v>7</v>
      </c>
      <c r="I94" s="29">
        <f>SUM(G94+H94)</f>
        <v>16.5</v>
      </c>
    </row>
    <row r="95" spans="1:9" ht="25.8" x14ac:dyDescent="0.3">
      <c r="A95" s="24" t="s">
        <v>30</v>
      </c>
      <c r="B95" s="25"/>
      <c r="C95" s="98"/>
      <c r="D95" s="25"/>
      <c r="E95" s="26"/>
      <c r="F95" s="26"/>
      <c r="G95" s="31" t="s">
        <v>33</v>
      </c>
      <c r="H95" s="32"/>
      <c r="I95" s="28"/>
    </row>
    <row r="96" spans="1:9" ht="26.4" thickBot="1" x14ac:dyDescent="0.35">
      <c r="A96" s="37" t="s">
        <v>31</v>
      </c>
      <c r="B96" s="41"/>
      <c r="C96" s="99"/>
      <c r="D96" s="41"/>
      <c r="E96" s="42"/>
      <c r="F96" s="42"/>
      <c r="G96" s="71" t="s">
        <v>32</v>
      </c>
      <c r="H96" s="32"/>
      <c r="I96" s="28"/>
    </row>
    <row r="97" spans="1:9" ht="26.4" thickBot="1" x14ac:dyDescent="0.35">
      <c r="A97" s="33">
        <v>43701</v>
      </c>
      <c r="B97" s="19" t="s">
        <v>26</v>
      </c>
      <c r="C97" s="74" t="s">
        <v>25</v>
      </c>
      <c r="D97" s="20" t="s">
        <v>10</v>
      </c>
      <c r="E97" s="81">
        <v>0.28000000000000003</v>
      </c>
      <c r="F97" s="82"/>
      <c r="G97" s="38">
        <f>(20*95)/1000</f>
        <v>1.9</v>
      </c>
      <c r="H97" s="39">
        <f>(20*70)/1000</f>
        <v>1.4</v>
      </c>
      <c r="I97" s="29">
        <f>SUM(G97+H97)</f>
        <v>3.3</v>
      </c>
    </row>
    <row r="98" spans="1:9" ht="26.4" thickBot="1" x14ac:dyDescent="0.35">
      <c r="A98" s="37" t="s">
        <v>27</v>
      </c>
      <c r="B98" s="25"/>
      <c r="C98" s="98"/>
      <c r="D98" s="25"/>
      <c r="E98" s="26"/>
      <c r="F98" s="26"/>
      <c r="G98" s="31" t="s">
        <v>28</v>
      </c>
      <c r="H98" s="27"/>
      <c r="I98" s="28"/>
    </row>
    <row r="99" spans="1:9" ht="26.4" thickBot="1" x14ac:dyDescent="0.35">
      <c r="A99" s="33">
        <v>43697</v>
      </c>
      <c r="B99" s="19" t="s">
        <v>18</v>
      </c>
      <c r="C99" s="74" t="s">
        <v>19</v>
      </c>
      <c r="D99" s="20" t="s">
        <v>1</v>
      </c>
      <c r="E99" s="79">
        <v>1.3</v>
      </c>
      <c r="F99" s="82"/>
      <c r="G99" s="38">
        <f>(13*95)/1000</f>
        <v>1.2350000000000001</v>
      </c>
      <c r="H99" s="22">
        <f>(13*70)/1000</f>
        <v>0.91</v>
      </c>
      <c r="I99" s="29">
        <f>SUM(G99+H99)</f>
        <v>2.145</v>
      </c>
    </row>
    <row r="100" spans="1:9" ht="26.4" thickBot="1" x14ac:dyDescent="0.35">
      <c r="A100" s="37" t="s">
        <v>23</v>
      </c>
      <c r="B100" s="25"/>
      <c r="C100" s="98"/>
      <c r="D100" s="25"/>
      <c r="E100" s="26"/>
      <c r="F100" s="26"/>
      <c r="G100" s="31" t="s">
        <v>24</v>
      </c>
      <c r="H100" s="32"/>
      <c r="I100" s="28"/>
    </row>
    <row r="101" spans="1:9" ht="26.4" thickBot="1" x14ac:dyDescent="0.35">
      <c r="A101" s="33">
        <v>43693</v>
      </c>
      <c r="B101" s="34" t="s">
        <v>60</v>
      </c>
      <c r="C101" s="74" t="s">
        <v>61</v>
      </c>
      <c r="D101" s="20" t="s">
        <v>10</v>
      </c>
      <c r="E101" s="81">
        <v>0.8</v>
      </c>
      <c r="F101" s="82"/>
      <c r="G101" s="35">
        <f>(100*95)/1000</f>
        <v>9.5</v>
      </c>
      <c r="H101" s="36">
        <f>(100*70)/1000</f>
        <v>7</v>
      </c>
      <c r="I101" s="29">
        <f>SUM(G101+H101)</f>
        <v>16.5</v>
      </c>
    </row>
    <row r="102" spans="1:9" ht="26.4" thickBot="1" x14ac:dyDescent="0.35">
      <c r="A102" s="37" t="s">
        <v>62</v>
      </c>
      <c r="B102" s="25"/>
      <c r="C102" s="98"/>
      <c r="D102" s="25"/>
      <c r="E102" s="26"/>
      <c r="F102" s="26"/>
      <c r="G102" s="31" t="s">
        <v>63</v>
      </c>
      <c r="H102" s="27"/>
      <c r="I102" s="28"/>
    </row>
    <row r="103" spans="1:9" ht="26.4" thickBot="1" x14ac:dyDescent="0.35">
      <c r="A103" s="33">
        <v>43682</v>
      </c>
      <c r="B103" s="19" t="s">
        <v>67</v>
      </c>
      <c r="C103" s="74" t="s">
        <v>17</v>
      </c>
      <c r="D103" s="20" t="s">
        <v>10</v>
      </c>
      <c r="E103" s="81">
        <v>0.56000000000000005</v>
      </c>
      <c r="F103" s="82"/>
      <c r="G103" s="38">
        <f>(40*95)/1000</f>
        <v>3.8</v>
      </c>
      <c r="H103" s="39">
        <f>(40*70)/1000</f>
        <v>2.8</v>
      </c>
      <c r="I103" s="29">
        <f>SUM(G103+H103)</f>
        <v>6.6</v>
      </c>
    </row>
    <row r="104" spans="1:9" ht="26.4" thickBot="1" x14ac:dyDescent="0.35">
      <c r="A104" s="37" t="s">
        <v>0</v>
      </c>
      <c r="B104" s="25"/>
      <c r="C104" s="98"/>
      <c r="D104" s="25"/>
      <c r="E104" s="26"/>
      <c r="F104" s="26"/>
      <c r="G104" s="31" t="s">
        <v>7</v>
      </c>
      <c r="H104" s="32"/>
      <c r="I104" s="28"/>
    </row>
    <row r="105" spans="1:9" ht="26.4" thickBot="1" x14ac:dyDescent="0.35">
      <c r="A105" s="18">
        <v>43677</v>
      </c>
      <c r="B105" s="19" t="s">
        <v>43</v>
      </c>
      <c r="C105" s="74" t="s">
        <v>14</v>
      </c>
      <c r="D105" s="20" t="s">
        <v>10</v>
      </c>
      <c r="E105" s="81">
        <v>0.8</v>
      </c>
      <c r="F105" s="82"/>
      <c r="G105" s="38">
        <f>(65*95)/1000</f>
        <v>6.1749999999999998</v>
      </c>
      <c r="H105" s="22">
        <f>(65*70)/1000</f>
        <v>4.55</v>
      </c>
      <c r="I105" s="29">
        <f>SUM(G105+H105)</f>
        <v>10.725</v>
      </c>
    </row>
    <row r="106" spans="1:9" ht="26.4" thickBot="1" x14ac:dyDescent="0.35">
      <c r="A106" s="24" t="s">
        <v>62</v>
      </c>
      <c r="B106" s="25"/>
      <c r="C106" s="102"/>
      <c r="D106" s="25"/>
      <c r="E106" s="26"/>
      <c r="F106" s="26"/>
      <c r="G106" s="31" t="s">
        <v>39</v>
      </c>
      <c r="H106" s="27"/>
      <c r="I106" s="28"/>
    </row>
    <row r="107" spans="1:9" ht="26.4" thickBot="1" x14ac:dyDescent="0.35">
      <c r="A107" s="18">
        <v>43675</v>
      </c>
      <c r="B107" s="19" t="s">
        <v>8</v>
      </c>
      <c r="C107" s="74" t="s">
        <v>9</v>
      </c>
      <c r="D107" s="20" t="s">
        <v>10</v>
      </c>
      <c r="E107" s="79">
        <v>0.3</v>
      </c>
      <c r="F107" s="82"/>
      <c r="G107" s="21">
        <f>(13*95)/1000</f>
        <v>1.2350000000000001</v>
      </c>
      <c r="H107" s="22">
        <f>(13*70)/1000</f>
        <v>0.91</v>
      </c>
      <c r="I107" s="29">
        <f>SUM(G107+H107)</f>
        <v>2.145</v>
      </c>
    </row>
    <row r="108" spans="1:9" ht="26.4" thickBot="1" x14ac:dyDescent="0.35">
      <c r="A108" s="30" t="s">
        <v>12</v>
      </c>
      <c r="B108" s="25"/>
      <c r="C108" s="103"/>
      <c r="D108" s="25"/>
      <c r="E108" s="26"/>
      <c r="F108" s="26"/>
      <c r="G108" s="31" t="s">
        <v>24</v>
      </c>
      <c r="H108" s="32"/>
      <c r="I108" s="28"/>
    </row>
    <row r="109" spans="1:9" ht="52.2" thickBot="1" x14ac:dyDescent="0.35">
      <c r="A109" s="18">
        <v>43652</v>
      </c>
      <c r="B109" s="19" t="s">
        <v>4</v>
      </c>
      <c r="C109" s="70" t="s">
        <v>15</v>
      </c>
      <c r="D109" s="20" t="s">
        <v>21</v>
      </c>
      <c r="E109" s="81">
        <v>8</v>
      </c>
      <c r="F109" s="82"/>
      <c r="G109" s="21">
        <f>(104*95)/1000</f>
        <v>9.8800000000000008</v>
      </c>
      <c r="H109" s="22">
        <f>(104*70)/1000</f>
        <v>7.28</v>
      </c>
      <c r="I109" s="29">
        <f>SUM(G109+H109)</f>
        <v>17.16</v>
      </c>
    </row>
    <row r="110" spans="1:9" ht="25.8" x14ac:dyDescent="0.3">
      <c r="A110" s="30" t="s">
        <v>42</v>
      </c>
      <c r="B110" s="25"/>
      <c r="C110" s="98"/>
      <c r="D110" s="25"/>
      <c r="E110" s="26"/>
      <c r="F110" s="26"/>
      <c r="G110" s="31" t="s">
        <v>5</v>
      </c>
      <c r="H110" s="27"/>
      <c r="I110" s="28"/>
    </row>
    <row r="111" spans="1:9" ht="25.8" x14ac:dyDescent="0.3">
      <c r="A111" s="40" t="s">
        <v>41</v>
      </c>
      <c r="B111" s="41"/>
      <c r="C111" s="99"/>
      <c r="D111" s="41"/>
      <c r="E111" s="42"/>
      <c r="F111" s="42"/>
      <c r="G111" s="42"/>
      <c r="H111" s="32"/>
      <c r="I111" s="28"/>
    </row>
    <row r="112" spans="1:9" ht="25.8" x14ac:dyDescent="0.3">
      <c r="A112" s="37" t="s">
        <v>3</v>
      </c>
      <c r="B112" s="41"/>
      <c r="C112" s="104"/>
      <c r="D112" s="41"/>
      <c r="E112" s="42"/>
      <c r="F112" s="42"/>
      <c r="G112" s="43" t="s">
        <v>5</v>
      </c>
      <c r="H112" s="32"/>
      <c r="I112" s="28"/>
    </row>
    <row r="113" spans="1:9" ht="26.4" thickBot="1" x14ac:dyDescent="0.35">
      <c r="A113" s="44" t="s">
        <v>11</v>
      </c>
      <c r="B113" s="45"/>
      <c r="C113" s="105"/>
      <c r="D113" s="45"/>
      <c r="E113" s="46"/>
      <c r="F113" s="46"/>
      <c r="G113" s="46"/>
      <c r="H113" s="47"/>
      <c r="I113" s="28"/>
    </row>
    <row r="114" spans="1:9" ht="26.4" thickBot="1" x14ac:dyDescent="0.35">
      <c r="A114" s="48">
        <v>43646</v>
      </c>
      <c r="B114" s="49" t="s">
        <v>67</v>
      </c>
      <c r="C114" s="106" t="s">
        <v>2</v>
      </c>
      <c r="D114" s="50" t="s">
        <v>49</v>
      </c>
      <c r="E114" s="83">
        <v>0.56000000000000005</v>
      </c>
      <c r="F114" s="84"/>
      <c r="G114" s="38">
        <f>(40*95)/1000</f>
        <v>3.8</v>
      </c>
      <c r="H114" s="39">
        <f>(40*70)/1000</f>
        <v>2.8</v>
      </c>
      <c r="I114" s="51">
        <f>SUM(G114+H114)</f>
        <v>6.6</v>
      </c>
    </row>
    <row r="115" spans="1:9" ht="26.4" thickBot="1" x14ac:dyDescent="0.35">
      <c r="A115" s="37" t="s">
        <v>0</v>
      </c>
      <c r="B115" s="25"/>
      <c r="C115" s="98"/>
      <c r="D115" s="25"/>
      <c r="E115" s="78"/>
      <c r="F115" s="26"/>
      <c r="G115" s="31" t="s">
        <v>7</v>
      </c>
      <c r="H115" s="27"/>
      <c r="I115" s="28"/>
    </row>
    <row r="116" spans="1:9" ht="78" thickBot="1" x14ac:dyDescent="0.35">
      <c r="A116" s="33">
        <v>43645</v>
      </c>
      <c r="B116" s="17" t="s">
        <v>171</v>
      </c>
      <c r="C116" s="17" t="s">
        <v>20</v>
      </c>
      <c r="D116" s="52" t="s">
        <v>1</v>
      </c>
      <c r="E116" s="81">
        <f>((70*100)/1000/3)+((70*70)/1000/3)</f>
        <v>3.9666666666666668</v>
      </c>
      <c r="F116" s="82"/>
      <c r="G116" s="38">
        <f>(77*95)/1000</f>
        <v>7.3150000000000004</v>
      </c>
      <c r="H116" s="36">
        <f>(70*70)/1000</f>
        <v>4.9000000000000004</v>
      </c>
      <c r="I116" s="53">
        <f>SUM(G116+H116)</f>
        <v>12.215</v>
      </c>
    </row>
    <row r="117" spans="1:9" ht="26.4" thickBot="1" x14ac:dyDescent="0.35">
      <c r="A117" s="37" t="s">
        <v>22</v>
      </c>
      <c r="B117" s="25"/>
      <c r="C117" s="98"/>
      <c r="D117" s="25"/>
      <c r="E117" s="78"/>
      <c r="F117" s="26"/>
      <c r="G117" s="31" t="s">
        <v>6</v>
      </c>
      <c r="H117" s="27"/>
      <c r="I117" s="28"/>
    </row>
    <row r="118" spans="1:9" ht="26.4" thickBot="1" x14ac:dyDescent="0.35">
      <c r="A118" s="33">
        <v>43643</v>
      </c>
      <c r="B118" s="34" t="s">
        <v>67</v>
      </c>
      <c r="C118" s="17" t="s">
        <v>68</v>
      </c>
      <c r="D118" s="52" t="s">
        <v>49</v>
      </c>
      <c r="E118" s="81">
        <v>0.56000000000000005</v>
      </c>
      <c r="F118" s="82"/>
      <c r="G118" s="35">
        <f>(40*95)/1000</f>
        <v>3.8</v>
      </c>
      <c r="H118" s="36">
        <f>(40*70)/1000</f>
        <v>2.8</v>
      </c>
      <c r="I118" s="51">
        <f>SUM(G118+H118)</f>
        <v>6.6</v>
      </c>
    </row>
    <row r="119" spans="1:9" ht="26.4" thickBot="1" x14ac:dyDescent="0.35">
      <c r="A119" s="37" t="s">
        <v>0</v>
      </c>
      <c r="B119" s="25"/>
      <c r="C119" s="98"/>
      <c r="D119" s="25"/>
      <c r="E119" s="78"/>
      <c r="F119" s="26"/>
      <c r="G119" s="31" t="s">
        <v>7</v>
      </c>
      <c r="H119" s="27"/>
      <c r="I119" s="28"/>
    </row>
    <row r="120" spans="1:9" ht="26.4" thickBot="1" x14ac:dyDescent="0.35">
      <c r="A120" s="33">
        <v>43638</v>
      </c>
      <c r="B120" s="34" t="s">
        <v>67</v>
      </c>
      <c r="C120" s="17" t="s">
        <v>68</v>
      </c>
      <c r="D120" s="52" t="s">
        <v>49</v>
      </c>
      <c r="E120" s="81">
        <v>0.56000000000000005</v>
      </c>
      <c r="F120" s="82"/>
      <c r="G120" s="35">
        <f>(40*95)/1000</f>
        <v>3.8</v>
      </c>
      <c r="H120" s="36">
        <f>(40*70)/1000</f>
        <v>2.8</v>
      </c>
      <c r="I120" s="51">
        <f>SUM(G120+H120)</f>
        <v>6.6</v>
      </c>
    </row>
    <row r="121" spans="1:9" ht="26.4" thickBot="1" x14ac:dyDescent="0.35">
      <c r="A121" s="37" t="s">
        <v>0</v>
      </c>
      <c r="B121" s="25"/>
      <c r="C121" s="98"/>
      <c r="D121" s="25"/>
      <c r="E121" s="78"/>
      <c r="F121" s="26"/>
      <c r="G121" s="31" t="s">
        <v>7</v>
      </c>
      <c r="H121" s="27"/>
      <c r="I121" s="28"/>
    </row>
    <row r="122" spans="1:9" ht="26.4" thickBot="1" x14ac:dyDescent="0.35">
      <c r="A122" s="33">
        <v>43630</v>
      </c>
      <c r="B122" s="34" t="s">
        <v>60</v>
      </c>
      <c r="C122" s="17" t="s">
        <v>66</v>
      </c>
      <c r="D122" s="52" t="s">
        <v>49</v>
      </c>
      <c r="E122" s="81">
        <v>0.8</v>
      </c>
      <c r="F122" s="82"/>
      <c r="G122" s="35">
        <f>(100*95)/1000</f>
        <v>9.5</v>
      </c>
      <c r="H122" s="36">
        <f>(100*70)/1000</f>
        <v>7</v>
      </c>
      <c r="I122" s="51">
        <f>SUM(G122+H122)</f>
        <v>16.5</v>
      </c>
    </row>
    <row r="123" spans="1:9" ht="26.4" thickBot="1" x14ac:dyDescent="0.35">
      <c r="A123" s="37" t="s">
        <v>62</v>
      </c>
      <c r="B123" s="25"/>
      <c r="C123" s="98"/>
      <c r="D123" s="25"/>
      <c r="E123" s="78"/>
      <c r="F123" s="26"/>
      <c r="G123" s="31" t="s">
        <v>63</v>
      </c>
      <c r="H123" s="27"/>
      <c r="I123" s="28"/>
    </row>
    <row r="124" spans="1:9" ht="26.4" thickBot="1" x14ac:dyDescent="0.35">
      <c r="A124" s="33" t="s">
        <v>64</v>
      </c>
      <c r="B124" s="34" t="s">
        <v>60</v>
      </c>
      <c r="C124" s="17" t="s">
        <v>65</v>
      </c>
      <c r="D124" s="52" t="s">
        <v>49</v>
      </c>
      <c r="E124" s="81">
        <v>0.8</v>
      </c>
      <c r="F124" s="82"/>
      <c r="G124" s="35">
        <f>(100*95)/1000</f>
        <v>9.5</v>
      </c>
      <c r="H124" s="36">
        <f>(100*70)/1000</f>
        <v>7</v>
      </c>
      <c r="I124" s="51">
        <f>SUM(G124+H124)</f>
        <v>16.5</v>
      </c>
    </row>
    <row r="125" spans="1:9" ht="26.4" thickBot="1" x14ac:dyDescent="0.35">
      <c r="A125" s="37" t="s">
        <v>62</v>
      </c>
      <c r="B125" s="25"/>
      <c r="C125" s="98"/>
      <c r="D125" s="25"/>
      <c r="E125" s="78"/>
      <c r="F125" s="26"/>
      <c r="G125" s="31" t="s">
        <v>63</v>
      </c>
      <c r="H125" s="27"/>
      <c r="I125" s="28"/>
    </row>
    <row r="126" spans="1:9" ht="26.4" thickBot="1" x14ac:dyDescent="0.35">
      <c r="A126" s="33">
        <v>43609</v>
      </c>
      <c r="B126" s="34" t="s">
        <v>60</v>
      </c>
      <c r="C126" s="17" t="s">
        <v>61</v>
      </c>
      <c r="D126" s="52" t="s">
        <v>49</v>
      </c>
      <c r="E126" s="81">
        <v>0.8</v>
      </c>
      <c r="F126" s="82"/>
      <c r="G126" s="35">
        <f>(100*95)/1000</f>
        <v>9.5</v>
      </c>
      <c r="H126" s="36">
        <f>(100*70)/1000</f>
        <v>7</v>
      </c>
      <c r="I126" s="51">
        <f>SUM(G126+H126)</f>
        <v>16.5</v>
      </c>
    </row>
    <row r="127" spans="1:9" ht="26.4" thickBot="1" x14ac:dyDescent="0.35">
      <c r="A127" s="37" t="s">
        <v>62</v>
      </c>
      <c r="B127" s="25"/>
      <c r="C127" s="98"/>
      <c r="D127" s="25"/>
      <c r="E127" s="78"/>
      <c r="F127" s="26"/>
      <c r="G127" s="31" t="s">
        <v>63</v>
      </c>
      <c r="H127" s="27"/>
      <c r="I127" s="28"/>
    </row>
    <row r="128" spans="1:9" ht="26.4" thickBot="1" x14ac:dyDescent="0.35">
      <c r="A128" s="33">
        <v>43594</v>
      </c>
      <c r="B128" s="19" t="s">
        <v>47</v>
      </c>
      <c r="C128" s="17" t="s">
        <v>48</v>
      </c>
      <c r="D128" s="55" t="s">
        <v>49</v>
      </c>
      <c r="E128" s="81">
        <f>((64*7)+(68*8)+(6*25))/1000</f>
        <v>1.1419999999999999</v>
      </c>
      <c r="F128" s="82"/>
      <c r="G128" s="56">
        <f>(140*95)/1000</f>
        <v>13.3</v>
      </c>
      <c r="H128" s="57">
        <f>(140*70)/1000</f>
        <v>9.8000000000000007</v>
      </c>
      <c r="I128" s="58">
        <f>SUM(G128+H128)</f>
        <v>23.1</v>
      </c>
    </row>
    <row r="129" spans="1:9" ht="18" x14ac:dyDescent="0.3">
      <c r="A129" s="24" t="s">
        <v>51</v>
      </c>
      <c r="B129" s="59"/>
      <c r="C129" s="23"/>
      <c r="D129" s="60"/>
      <c r="E129" s="60"/>
      <c r="F129" s="60"/>
      <c r="G129" s="31" t="s">
        <v>16</v>
      </c>
      <c r="H129" s="61"/>
      <c r="I129" s="62"/>
    </row>
    <row r="130" spans="1:9" ht="18" x14ac:dyDescent="0.3">
      <c r="A130" s="37" t="s">
        <v>52</v>
      </c>
      <c r="B130" s="63"/>
      <c r="C130" s="64"/>
      <c r="D130" s="64"/>
      <c r="E130" s="64"/>
      <c r="F130" s="64"/>
      <c r="G130" s="64"/>
      <c r="H130" s="64"/>
      <c r="I130" s="65"/>
    </row>
    <row r="131" spans="1:9" ht="18.600000000000001" thickBot="1" x14ac:dyDescent="0.35">
      <c r="A131" s="66" t="s">
        <v>57</v>
      </c>
      <c r="B131" s="67"/>
      <c r="C131" s="68"/>
      <c r="D131" s="68"/>
      <c r="E131" s="68"/>
      <c r="F131" s="68"/>
      <c r="G131" s="68"/>
      <c r="H131" s="68"/>
      <c r="I131" s="69"/>
    </row>
    <row r="132" spans="1:9" x14ac:dyDescent="0.3">
      <c r="C132" s="3"/>
      <c r="D132" s="3"/>
      <c r="E132" s="3"/>
      <c r="F132" s="3"/>
      <c r="G132" s="3"/>
      <c r="H132" s="3"/>
    </row>
    <row r="133" spans="1:9" x14ac:dyDescent="0.3">
      <c r="C133" s="3"/>
      <c r="D133" s="3"/>
      <c r="E133" s="3"/>
      <c r="F133" s="3"/>
      <c r="G133" s="3"/>
      <c r="H133" s="3"/>
    </row>
    <row r="154" spans="7:7" x14ac:dyDescent="0.3">
      <c r="G154" t="s">
        <v>58</v>
      </c>
    </row>
  </sheetData>
  <mergeCells count="63">
    <mergeCell ref="E8:F8"/>
    <mergeCell ref="E19:F19"/>
    <mergeCell ref="E17:F17"/>
    <mergeCell ref="E15:F15"/>
    <mergeCell ref="E13:F13"/>
    <mergeCell ref="E11:F11"/>
    <mergeCell ref="E27:F27"/>
    <mergeCell ref="E29:F29"/>
    <mergeCell ref="E25:F25"/>
    <mergeCell ref="E23:F23"/>
    <mergeCell ref="E21:F21"/>
    <mergeCell ref="E39:F39"/>
    <mergeCell ref="E37:F37"/>
    <mergeCell ref="E35:F35"/>
    <mergeCell ref="E33:F33"/>
    <mergeCell ref="E31:F31"/>
    <mergeCell ref="E67:F67"/>
    <mergeCell ref="E82:F82"/>
    <mergeCell ref="E80:F80"/>
    <mergeCell ref="E78:F78"/>
    <mergeCell ref="E76:F76"/>
    <mergeCell ref="E73:F73"/>
    <mergeCell ref="E88:F88"/>
    <mergeCell ref="E90:F90"/>
    <mergeCell ref="E86:F86"/>
    <mergeCell ref="E84:F84"/>
    <mergeCell ref="A3:H3"/>
    <mergeCell ref="A6:D6"/>
    <mergeCell ref="E4:F4"/>
    <mergeCell ref="E6:F6"/>
    <mergeCell ref="E5:F5"/>
    <mergeCell ref="G4:I4"/>
    <mergeCell ref="E63:F63"/>
    <mergeCell ref="E65:F65"/>
    <mergeCell ref="E59:F59"/>
    <mergeCell ref="E57:F57"/>
    <mergeCell ref="E71:F71"/>
    <mergeCell ref="E69:F69"/>
    <mergeCell ref="E114:F114"/>
    <mergeCell ref="E109:F109"/>
    <mergeCell ref="E107:F107"/>
    <mergeCell ref="E105:F105"/>
    <mergeCell ref="E128:F128"/>
    <mergeCell ref="E126:F126"/>
    <mergeCell ref="E124:F124"/>
    <mergeCell ref="E122:F122"/>
    <mergeCell ref="E120:F120"/>
    <mergeCell ref="E118:F118"/>
    <mergeCell ref="E116:F116"/>
    <mergeCell ref="E101:F101"/>
    <mergeCell ref="E103:F103"/>
    <mergeCell ref="E97:F97"/>
    <mergeCell ref="E99:F99"/>
    <mergeCell ref="E92:F92"/>
    <mergeCell ref="E94:F94"/>
    <mergeCell ref="E45:F45"/>
    <mergeCell ref="E43:F43"/>
    <mergeCell ref="E41:F41"/>
    <mergeCell ref="E55:F55"/>
    <mergeCell ref="E53:F53"/>
    <mergeCell ref="E51:F51"/>
    <mergeCell ref="E49:F49"/>
    <mergeCell ref="E47:F47"/>
  </mergeCells>
  <phoneticPr fontId="5" type="noConversion"/>
  <pageMargins left="0.7" right="0.7" top="0.75" bottom="0.75" header="0.3" footer="0.3"/>
  <pageSetup paperSize="10" orientation="portrait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Ducommun Romain</cp:lastModifiedBy>
  <dcterms:created xsi:type="dcterms:W3CDTF">2019-05-04T11:44:35Z</dcterms:created>
  <dcterms:modified xsi:type="dcterms:W3CDTF">2019-10-14T08:57:37Z</dcterms:modified>
</cp:coreProperties>
</file>